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pivotTables/pivotTable1.xml" ContentType="application/vnd.openxmlformats-officedocument.spreadsheetml.pivotTable+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omments2.xml" ContentType="application/vnd.openxmlformats-officedocument.spreadsheetml.comments+xml"/>
  <Override PartName="/xl/charts/chart1.xml" ContentType="application/vnd.openxmlformats-officedocument.drawingml.chart+xml"/>
  <Override PartName="/xl/drawings/drawing7.xml" ContentType="application/vnd.openxmlformats-officedocument.drawingml.chartshapes+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chart5.xml" ContentType="application/vnd.openxmlformats-officedocument.drawingml.chart+xml"/>
  <Override PartName="/xl/drawings/drawing8.xml" ContentType="application/vnd.openxmlformats-officedocument.drawing+xml"/>
  <Override PartName="/xl/ctrlProps/ctrlProp6.xml" ContentType="application/vnd.ms-excel.controlproperties+xml"/>
  <Override PartName="/xl/charts/chart6.xml" ContentType="application/vnd.openxmlformats-officedocument.drawingml.chart+xml"/>
  <Override PartName="/xl/charts/style3.xml" ContentType="application/vnd.ms-office.chartstyle+xml"/>
  <Override PartName="/xl/charts/colors3.xml" ContentType="application/vnd.ms-office.chartcolorstyle+xml"/>
  <Override PartName="/xl/drawings/drawing9.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10.xml" ContentType="application/vnd.openxmlformats-officedocument.drawing+xml"/>
  <Override PartName="/xl/charts/chart7.xml" ContentType="application/vnd.openxmlformats-officedocument.drawingml.chart+xml"/>
  <Override PartName="/xl/charts/style4.xml" ContentType="application/vnd.ms-office.chartstyle+xml"/>
  <Override PartName="/xl/charts/colors4.xml" ContentType="application/vnd.ms-office.chartcolorstyle+xml"/>
  <Override PartName="/xl/drawings/drawing11.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24226"/>
  <mc:AlternateContent xmlns:mc="http://schemas.openxmlformats.org/markup-compatibility/2006">
    <mc:Choice Requires="x15">
      <x15ac:absPath xmlns:x15ac="http://schemas.microsoft.com/office/spreadsheetml/2010/11/ac" url="C:\Users\Teacher\Desktop\Calculation sheets\New\"/>
    </mc:Choice>
  </mc:AlternateContent>
  <bookViews>
    <workbookView xWindow="-105" yWindow="-105" windowWidth="18465" windowHeight="11025" tabRatio="778" firstSheet="1" activeTab="1"/>
  </bookViews>
  <sheets>
    <sheet name="Workbook Description" sheetId="1" state="hidden" r:id="rId1"/>
    <sheet name="Cover" sheetId="18" r:id="rId2"/>
    <sheet name="Change Log" sheetId="10" r:id="rId3"/>
    <sheet name="Objectives" sheetId="17" r:id="rId4"/>
    <sheet name="Thermal- Thermal Budget OCDT" sheetId="16" r:id="rId5"/>
    <sheet name="Thermal Budget and summary " sheetId="13" r:id="rId6"/>
    <sheet name="Thermal Control - Spherical" sheetId="4" r:id="rId7"/>
    <sheet name="MLI Design" sheetId="8" state="hidden" r:id="rId8"/>
    <sheet name="Thermal Control - Solar Array" sheetId="5" r:id="rId9"/>
    <sheet name="Modes" sheetId="12" r:id="rId10"/>
    <sheet name="Trade_off" sheetId="15" r:id="rId11"/>
    <sheet name="ProductTreeMain" sheetId="14" r:id="rId12"/>
    <sheet name="Constants" sheetId="9" r:id="rId13"/>
  </sheets>
  <functionGroups builtInGroupCount="18"/>
  <externalReferences>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1AU" localSheetId="1">#REF!</definedName>
    <definedName name="_1AU" localSheetId="3">#REF!</definedName>
    <definedName name="_1AU" localSheetId="11">#REF!</definedName>
    <definedName name="_1AU" localSheetId="4">#REF!</definedName>
    <definedName name="_1AU">#REF!</definedName>
    <definedName name="_ConCORDE_Info_" localSheetId="1">#REF!</definedName>
    <definedName name="_ConCORDE_Info_">#REF!</definedName>
    <definedName name="_DomainOfExpertise_" localSheetId="1">#REF!</definedName>
    <definedName name="_DomainOfExpertise_">#REF!</definedName>
    <definedName name="_ecc2" localSheetId="1">#REF!</definedName>
    <definedName name="_ecc2" localSheetId="4">#REF!</definedName>
    <definedName name="_ecc2">#REF!</definedName>
    <definedName name="_EngineeringModel_" localSheetId="1">#REF!</definedName>
    <definedName name="_EngineeringModel_">#REF!</definedName>
    <definedName name="_IterationNumber_" localSheetId="1">#REF!</definedName>
    <definedName name="_IterationNumber_">#REF!</definedName>
    <definedName name="_IterationRevision_" localSheetId="1">#REF!</definedName>
    <definedName name="_IterationRevision_">#REF!</definedName>
    <definedName name="_LastModifiedOn_" localSheetId="1">#REF!</definedName>
    <definedName name="_LastModifiedOn_">#REF!</definedName>
    <definedName name="_Person_" localSheetId="1">#REF!</definedName>
    <definedName name="_Person_">#REF!</definedName>
    <definedName name="absolute_zero" localSheetId="1">#REF!</definedName>
    <definedName name="absolute_zero" localSheetId="3">#REF!</definedName>
    <definedName name="absolute_zero" localSheetId="11">#REF!</definedName>
    <definedName name="absolute_zero" localSheetId="4">#REF!</definedName>
    <definedName name="absolute_zero">#REF!</definedName>
    <definedName name="anscount" hidden="1">6</definedName>
    <definedName name="AOGNC\m\\">[1]Parameters!$I$2</definedName>
    <definedName name="AOGNC\P\\">[1]Parameters!$I$4</definedName>
    <definedName name="AOGNC\P_duty_cyc\\">[1]Parameters!$I$5</definedName>
    <definedName name="Aperture_diameter">'[2]Obs Payload - Optics'!$D$35</definedName>
    <definedName name="atto" localSheetId="1">#REF!</definedName>
    <definedName name="atto" localSheetId="3">#REF!</definedName>
    <definedName name="atto" localSheetId="11">#REF!</definedName>
    <definedName name="atto" localSheetId="4">#REF!</definedName>
    <definedName name="atto">#REF!</definedName>
    <definedName name="AU" localSheetId="1">#REF!</definedName>
    <definedName name="AU" localSheetId="4">#REF!</definedName>
    <definedName name="AU">#REF!</definedName>
    <definedName name="Author">" "</definedName>
    <definedName name="Avg_Solar_Flux" localSheetId="4">[3]Constants!$B$32</definedName>
    <definedName name="Avg_Solar_Flux">Constants!$B$33</definedName>
    <definedName name="bmsAddress">""</definedName>
    <definedName name="bmsPhoneFax">""</definedName>
    <definedName name="bmsSitename">""</definedName>
    <definedName name="bmsSitename2">""</definedName>
    <definedName name="Boltzmann_Constant" localSheetId="12">Constants!$B$3</definedName>
    <definedName name="Boltzmann_Constant" localSheetId="1">#REF!</definedName>
    <definedName name="Boltzmann_Constant" localSheetId="3">[4]Constants!$B$3</definedName>
    <definedName name="Boltzmann_Constant" localSheetId="11">#REF!</definedName>
    <definedName name="Boltzmann_Constant" localSheetId="10">[4]Constants!$B$3</definedName>
    <definedName name="Boltzmann_Constant">#REF!</definedName>
    <definedName name="c0" localSheetId="3">#REF!</definedName>
    <definedName name="CDH\m\\">[1]Parameters!$I$6</definedName>
    <definedName name="CDH\P\\">[1]Parameters!$I$8</definedName>
    <definedName name="CDH\P_duty_cyc\\">[1]Parameters!$I$9</definedName>
    <definedName name="cellname_SUB_aa">[5]Subsystem!$B$13</definedName>
    <definedName name="cellname_SUB_bb">[5]Subsystem!$B$10</definedName>
    <definedName name="cellname_SUB_cc">[5]Subsystem!$B$11</definedName>
    <definedName name="cellname_SUB_dd">[5]Subsystem!$B$12</definedName>
    <definedName name="centi" localSheetId="1">#REF!</definedName>
    <definedName name="centi" localSheetId="3">#REF!</definedName>
    <definedName name="centi" localSheetId="11">#REF!</definedName>
    <definedName name="centi" localSheetId="4">#REF!</definedName>
    <definedName name="centi">#REF!</definedName>
    <definedName name="Classification">"ESA UNCLASSIFIED - For Official Use"</definedName>
    <definedName name="Classification_Caveat">" "</definedName>
    <definedName name="COMM\m\\">[1]Parameters!$I$10</definedName>
    <definedName name="COMM\P\\">[1]Parameters!$I$12</definedName>
    <definedName name="COMM\P_duty_cyc\\">[1]Parameters!$I$13</definedName>
    <definedName name="Comments">" "</definedName>
    <definedName name="Company">"ESA"</definedName>
    <definedName name="conversion_inch2m" localSheetId="1">#REF!</definedName>
    <definedName name="conversion_inch2m" localSheetId="11">#REF!</definedName>
    <definedName name="conversion_inch2m" localSheetId="4">#REF!</definedName>
    <definedName name="conversion_inch2m">#REF!</definedName>
    <definedName name="Current_Magnetic_Torquer" localSheetId="3">'[6]Attitude Control - Sizing'!$Q$66</definedName>
    <definedName name="Current_Magnetic_Torquer">'[7]Attitude Control - Sizing'!$Q$66</definedName>
    <definedName name="DBname" localSheetId="1">#REF!</definedName>
    <definedName name="DBname" localSheetId="3">#REF!</definedName>
    <definedName name="DBname" localSheetId="11">#REF!</definedName>
    <definedName name="DBname" localSheetId="4">#REF!</definedName>
    <definedName name="DBname">#REF!</definedName>
    <definedName name="deci" localSheetId="1">#REF!</definedName>
    <definedName name="deci" localSheetId="11">#REF!</definedName>
    <definedName name="deci" localSheetId="4">#REF!</definedName>
    <definedName name="deci">#REF!</definedName>
    <definedName name="deg" localSheetId="1">#REF!</definedName>
    <definedName name="deg" localSheetId="4">#REF!</definedName>
    <definedName name="deg">#REF!</definedName>
    <definedName name="degpermin" localSheetId="1">#REF!</definedName>
    <definedName name="degpermin" localSheetId="4">#REF!</definedName>
    <definedName name="degpermin">#REF!</definedName>
    <definedName name="degpermin2" localSheetId="1">#REF!</definedName>
    <definedName name="degpermin2" localSheetId="4">#REF!</definedName>
    <definedName name="degpermin2">#REF!</definedName>
    <definedName name="deka" localSheetId="1">#REF!</definedName>
    <definedName name="deka" localSheetId="11">#REF!</definedName>
    <definedName name="deka" localSheetId="4">#REF!</definedName>
    <definedName name="deka">#REF!</definedName>
    <definedName name="departureplanet_OrbitRadius">[8]Constants!$B$9</definedName>
    <definedName name="Distribution">" "</definedName>
    <definedName name="Document_type">" "</definedName>
    <definedName name="Earth_conv_IGRF_radi" localSheetId="1">#REF!</definedName>
    <definedName name="Earth_conv_IGRF_radi" localSheetId="11">#REF!</definedName>
    <definedName name="Earth_conv_IGRF_radi" localSheetId="4">#REF!</definedName>
    <definedName name="Earth_conv_IGRF_radi">#REF!</definedName>
    <definedName name="Earth_dyn_form_factor" localSheetId="1">#REF!</definedName>
    <definedName name="Earth_dyn_form_factor" localSheetId="11">#REF!</definedName>
    <definedName name="Earth_dyn_form_factor" localSheetId="4">#REF!</definedName>
    <definedName name="Earth_dyn_form_factor">#REF!</definedName>
    <definedName name="Earth_equator_radi" localSheetId="1">#REF!</definedName>
    <definedName name="Earth_equator_radi" localSheetId="11">#REF!</definedName>
    <definedName name="Earth_equator_radi" localSheetId="4">#REF!</definedName>
    <definedName name="Earth_equator_radi">#REF!</definedName>
    <definedName name="Earth_flattening_factor" localSheetId="1">#REF!</definedName>
    <definedName name="Earth_flattening_factor" localSheetId="11">#REF!</definedName>
    <definedName name="Earth_flattening_factor" localSheetId="4">#REF!</definedName>
    <definedName name="Earth_flattening_factor">#REF!</definedName>
    <definedName name="Earth_J2" localSheetId="1">#REF!</definedName>
    <definedName name="Earth_J2" localSheetId="3">[9]Constants!#REF!</definedName>
    <definedName name="Earth_J2" localSheetId="11">#REF!</definedName>
    <definedName name="Earth_J2">#REF!</definedName>
    <definedName name="Earth_Mag_Moment" localSheetId="1">#REF!</definedName>
    <definedName name="Earth_Mag_Moment" localSheetId="9">[7]Constants!$B$28</definedName>
    <definedName name="Earth_Mag_Moment" localSheetId="3">[9]Constants!#REF!</definedName>
    <definedName name="Earth_Mag_Moment" localSheetId="11">#REF!</definedName>
    <definedName name="Earth_Mag_Moment">#REF!</definedName>
    <definedName name="Earth_mass" localSheetId="1">#REF!</definedName>
    <definedName name="Earth_mass" localSheetId="3">#REF!</definedName>
    <definedName name="Earth_mass" localSheetId="11">#REF!</definedName>
    <definedName name="Earth_mass" localSheetId="4">#REF!</definedName>
    <definedName name="Earth_mass">#REF!</definedName>
    <definedName name="Earth_mean_radi" localSheetId="1">#REF!</definedName>
    <definedName name="Earth_mean_radi" localSheetId="11">#REF!</definedName>
    <definedName name="Earth_mean_radi" localSheetId="4">#REF!</definedName>
    <definedName name="Earth_mean_radi">#REF!</definedName>
    <definedName name="Earth_Mu" localSheetId="12">Constants!$B$12</definedName>
    <definedName name="Earth_Mu" localSheetId="9">[7]Constants!$B$12</definedName>
    <definedName name="Earth_Mu" localSheetId="3">[6]Constants!$B$12</definedName>
    <definedName name="Earth_Mu" localSheetId="11">[10]Constants!$B$7</definedName>
    <definedName name="Earth_Mu" localSheetId="4">[11]Constants!$B$12</definedName>
    <definedName name="Earth_Mu" localSheetId="10">[12]Constants!$B$12</definedName>
    <definedName name="Earth_Mu">[10]Constants!$B$7</definedName>
    <definedName name="Earth_obl_coeff" localSheetId="1">#REF!</definedName>
    <definedName name="Earth_obl_coeff" localSheetId="3">#REF!</definedName>
    <definedName name="Earth_obl_coeff" localSheetId="11">#REF!</definedName>
    <definedName name="Earth_obl_coeff" localSheetId="4">#REF!</definedName>
    <definedName name="Earth_obl_coeff">#REF!</definedName>
    <definedName name="Earth_OrbitRadius" localSheetId="3">[13]Constants!$B$9</definedName>
    <definedName name="Earth_OrbitRadius" localSheetId="4">[3]Constants!$B$9</definedName>
    <definedName name="Earth_OrbitRadius">Constants!$B$9</definedName>
    <definedName name="Earth_OrbPeriod" localSheetId="4">[3]Constants!$B$10</definedName>
    <definedName name="Earth_OrbPeriod">Constants!$B$10</definedName>
    <definedName name="Earth_pole_radi" localSheetId="1">#REF!</definedName>
    <definedName name="Earth_pole_radi" localSheetId="3">#REF!</definedName>
    <definedName name="Earth_pole_radi" localSheetId="11">#REF!</definedName>
    <definedName name="Earth_pole_radi" localSheetId="4">#REF!</definedName>
    <definedName name="Earth_pole_radi">#REF!</definedName>
    <definedName name="Earth_Radius" localSheetId="12">Constants!$B$11</definedName>
    <definedName name="Earth_Radius" localSheetId="9">[7]Constants!$B$11</definedName>
    <definedName name="Earth_Radius" localSheetId="3">[6]Constants!$B$11</definedName>
    <definedName name="Earth_Radius" localSheetId="11">[10]Constants!$B$6</definedName>
    <definedName name="Earth_Radius" localSheetId="4">[11]Constants!$B$11</definedName>
    <definedName name="Earth_Radius" localSheetId="10">[12]Constants!$B$11</definedName>
    <definedName name="Earth_Radius">[10]Constants!$B$6</definedName>
    <definedName name="Earth_rotation_rate" localSheetId="1">#REF!</definedName>
    <definedName name="Earth_rotation_rate" localSheetId="3">#REF!</definedName>
    <definedName name="Earth_rotation_rate" localSheetId="11">#REF!</definedName>
    <definedName name="Earth_rotation_rate" localSheetId="4">#REF!</definedName>
    <definedName name="Earth_rotation_rate">#REF!</definedName>
    <definedName name="Earth_SidDay">Constants!$B$13</definedName>
    <definedName name="Earth_SolarDay" localSheetId="3">[8]Constants!$B$14</definedName>
    <definedName name="Earth_SolarDay" localSheetId="4">[3]Constants!$B$14</definedName>
    <definedName name="Earth_SolarDay">Constants!$B$14</definedName>
    <definedName name="Earth_Vel" localSheetId="1">#REF!</definedName>
    <definedName name="Earth_Vel" localSheetId="3">[9]Constants!#REF!</definedName>
    <definedName name="Earth_Vel" localSheetId="11">#REF!</definedName>
    <definedName name="Earth_Vel">#REF!</definedName>
    <definedName name="ecc" localSheetId="1">#REF!</definedName>
    <definedName name="ecc" localSheetId="3">#REF!</definedName>
    <definedName name="ecc" localSheetId="4">#REF!</definedName>
    <definedName name="ecc">#REF!</definedName>
    <definedName name="elementary_charge" localSheetId="1">#REF!</definedName>
    <definedName name="elementary_charge" localSheetId="11">#REF!</definedName>
    <definedName name="elementary_charge" localSheetId="4">#REF!</definedName>
    <definedName name="elementary_charge">#REF!</definedName>
    <definedName name="EPS\m\\">[1]Parameters!$I$14</definedName>
    <definedName name="EPS\P\\">[1]Parameters!$I$16</definedName>
    <definedName name="EPS\P_duty_cyc\\">[1]Parameters!$I$17</definedName>
    <definedName name="exa" localSheetId="1">#REF!</definedName>
    <definedName name="exa" localSheetId="3">#REF!</definedName>
    <definedName name="exa" localSheetId="11">#REF!</definedName>
    <definedName name="exa" localSheetId="4">#REF!</definedName>
    <definedName name="exa">#REF!</definedName>
    <definedName name="femto" localSheetId="1">#REF!</definedName>
    <definedName name="femto" localSheetId="11">#REF!</definedName>
    <definedName name="femto" localSheetId="4">#REF!</definedName>
    <definedName name="femto">#REF!</definedName>
    <definedName name="Focal_length">'[2]Obs Payload - Optics'!$D$36</definedName>
    <definedName name="g" localSheetId="1">#REF!</definedName>
    <definedName name="g" localSheetId="3">#REF!</definedName>
    <definedName name="g" localSheetId="11">#REF!</definedName>
    <definedName name="g" localSheetId="4">#REF!</definedName>
    <definedName name="g">#REF!</definedName>
    <definedName name="G_Universal" localSheetId="1">#REF!</definedName>
    <definedName name="G_Universal" localSheetId="11">#REF!</definedName>
    <definedName name="G_Universal" localSheetId="4">#REF!</definedName>
    <definedName name="G_Universal">#REF!</definedName>
    <definedName name="giga" localSheetId="1">#REF!</definedName>
    <definedName name="giga" localSheetId="11">#REF!</definedName>
    <definedName name="giga" localSheetId="4">#REF!</definedName>
    <definedName name="giga">#REF!</definedName>
    <definedName name="GM_Earth" localSheetId="1">#REF!</definedName>
    <definedName name="GM_Earth" localSheetId="11">#REF!</definedName>
    <definedName name="GM_Earth" localSheetId="4">#REF!</definedName>
    <definedName name="GM_Earth">#REF!</definedName>
    <definedName name="GM_Mars" localSheetId="1">#REF!</definedName>
    <definedName name="GM_Mars" localSheetId="11">#REF!</definedName>
    <definedName name="GM_Mars" localSheetId="4">#REF!</definedName>
    <definedName name="GM_Mars">#REF!</definedName>
    <definedName name="GM_Moon" localSheetId="1">#REF!</definedName>
    <definedName name="GM_Moon" localSheetId="11">#REF!</definedName>
    <definedName name="GM_Moon" localSheetId="4">#REF!</definedName>
    <definedName name="GM_Moon">#REF!</definedName>
    <definedName name="GM_Sun" localSheetId="1">#REF!</definedName>
    <definedName name="GM_Sun" localSheetId="11">#REF!</definedName>
    <definedName name="GM_Sun" localSheetId="4">#REF!</definedName>
    <definedName name="GM_Sun">#REF!</definedName>
    <definedName name="hecto" localSheetId="1">#REF!</definedName>
    <definedName name="hecto" localSheetId="11">#REF!</definedName>
    <definedName name="hecto" localSheetId="4">#REF!</definedName>
    <definedName name="hecto">#REF!</definedName>
    <definedName name="hgeo" localSheetId="1">#REF!</definedName>
    <definedName name="hgeo" localSheetId="4">#REF!</definedName>
    <definedName name="hgeo">#REF!</definedName>
    <definedName name="HTML_CodePage" hidden="1">1252</definedName>
    <definedName name="HTML_Control" localSheetId="1" hidden="1">{"'honey'!$A$1:$M$23"}</definedName>
    <definedName name="HTML_Control" localSheetId="9" hidden="1">{"'honey'!$A$1:$M$23"}</definedName>
    <definedName name="HTML_Control" localSheetId="3" hidden="1">{"'honey'!$A$1:$M$23"}</definedName>
    <definedName name="HTML_Control" localSheetId="11" hidden="1">{"'honey'!$A$1:$M$23"}</definedName>
    <definedName name="HTML_Control" localSheetId="4" hidden="1">{"'honey'!$A$1:$M$23"}</definedName>
    <definedName name="HTML_Control" hidden="1">{"'honey'!$A$1:$M$23"}</definedName>
    <definedName name="HTML_Controlbis" localSheetId="1" hidden="1">{"'honey'!$A$1:$M$23"}</definedName>
    <definedName name="HTML_Controlbis" localSheetId="9" hidden="1">{"'honey'!$A$1:$M$23"}</definedName>
    <definedName name="HTML_Controlbis" localSheetId="3" hidden="1">{"'honey'!$A$1:$M$23"}</definedName>
    <definedName name="HTML_Controlbis" localSheetId="11" hidden="1">{"'honey'!$A$1:$M$23"}</definedName>
    <definedName name="HTML_Controlbis" localSheetId="4" hidden="1">{"'honey'!$A$1:$M$23"}</definedName>
    <definedName name="HTML_Controlbis" hidden="1">{"'honey'!$A$1:$M$23"}</definedName>
    <definedName name="HTML_Description" hidden="1">""</definedName>
    <definedName name="HTML_Email" hidden="1">""</definedName>
    <definedName name="HTML_Header" hidden="1">"honey"</definedName>
    <definedName name="HTML_LastUpdate" hidden="1">"24/11/97"</definedName>
    <definedName name="HTML_LineAfter" hidden="1">TRUE</definedName>
    <definedName name="HTML_LineBefore" hidden="1">TRUE</definedName>
    <definedName name="HTML_Name" hidden="1">"Philippe Poinas"</definedName>
    <definedName name="HTML_OBDlg2" hidden="1">TRUE</definedName>
    <definedName name="HTML_OBDlg4" hidden="1">TRUE</definedName>
    <definedName name="HTML_OS" hidden="1">0</definedName>
    <definedName name="HTML_PathFile" hidden="1">"H:\philippe\etc\kermesse\y97\exceltest.html"</definedName>
    <definedName name="HTML_Title" hidden="1">"thermal"</definedName>
    <definedName name="inc" localSheetId="1">#REF!</definedName>
    <definedName name="inc" localSheetId="4">#REF!</definedName>
    <definedName name="inc">#REF!</definedName>
    <definedName name="INS\m\\">[1]Parameters!$I$18</definedName>
    <definedName name="INS\P\\">[1]Parameters!$I$20</definedName>
    <definedName name="INS\P_duty_cyc\\">[1]Parameters!$I$21</definedName>
    <definedName name="Issue">"16/07/2018"</definedName>
    <definedName name="Issue_Date" localSheetId="11">"01/01/2000"</definedName>
    <definedName name="Issue_Date">" "</definedName>
    <definedName name="jtwo" localSheetId="1">#REF!</definedName>
    <definedName name="jtwo" localSheetId="3">#REF!</definedName>
    <definedName name="jtwo" localSheetId="4">#REF!</definedName>
    <definedName name="jtwo">#REF!</definedName>
    <definedName name="K" localSheetId="1">#REF!</definedName>
    <definedName name="K" localSheetId="4">#REF!</definedName>
    <definedName name="K">#REF!</definedName>
    <definedName name="kb" localSheetId="1">#REF!</definedName>
    <definedName name="kb" localSheetId="4">#REF!</definedName>
    <definedName name="kb">#REF!</definedName>
    <definedName name="Keywords">" "</definedName>
    <definedName name="kilo" localSheetId="1">#REF!</definedName>
    <definedName name="kilo" localSheetId="9">#REF!</definedName>
    <definedName name="kilo" localSheetId="3">#REF!</definedName>
    <definedName name="kilo" localSheetId="11">#REF!</definedName>
    <definedName name="kilo" localSheetId="4">#REF!</definedName>
    <definedName name="kilo">#REF!</definedName>
    <definedName name="Knudot" localSheetId="1">#REF!</definedName>
    <definedName name="Knudot" localSheetId="4">#REF!</definedName>
    <definedName name="Knudot">#REF!</definedName>
    <definedName name="Knudot2" localSheetId="1">#REF!</definedName>
    <definedName name="Knudot2" localSheetId="4">#REF!</definedName>
    <definedName name="Knudot2">#REF!</definedName>
    <definedName name="light_year" localSheetId="1">#REF!</definedName>
    <definedName name="light_year" localSheetId="9">#REF!</definedName>
    <definedName name="light_year" localSheetId="11">#REF!</definedName>
    <definedName name="light_year" localSheetId="4">#REF!</definedName>
    <definedName name="light_year">#REF!</definedName>
    <definedName name="Mars_mass" localSheetId="1">#REF!</definedName>
    <definedName name="Mars_mass" localSheetId="9">#REF!</definedName>
    <definedName name="Mars_mass" localSheetId="3">#REF!</definedName>
    <definedName name="Mars_mass" localSheetId="11">#REF!</definedName>
    <definedName name="Mars_mass" localSheetId="4">#REF!</definedName>
    <definedName name="Mars_mass">#REF!</definedName>
    <definedName name="Mars_mean_radi" localSheetId="1">#REF!</definedName>
    <definedName name="Mars_mean_radi" localSheetId="9">#REF!</definedName>
    <definedName name="Mars_mean_radi" localSheetId="11">#REF!</definedName>
    <definedName name="Mars_mean_radi" localSheetId="4">#REF!</definedName>
    <definedName name="Mars_mean_radi">#REF!</definedName>
    <definedName name="Mass" localSheetId="1">#REF!</definedName>
    <definedName name="Mass" localSheetId="9">#REF!</definedName>
    <definedName name="Mass" localSheetId="3">#REF!</definedName>
    <definedName name="Mass" localSheetId="11">[10]MainTrade!#REF!</definedName>
    <definedName name="Mass" localSheetId="4">#REF!</definedName>
    <definedName name="Mass">#REF!</definedName>
    <definedName name="Max_Solar_Flux" localSheetId="4">[3]Constants!$B$31</definedName>
    <definedName name="Max_Solar_Flux">Constants!$B$31</definedName>
    <definedName name="MECH\m\\">[1]Parameters!$I$22</definedName>
    <definedName name="MECH\P\\">[1]Parameters!$I$24</definedName>
    <definedName name="MECH\P_duty_cyc\\">[1]Parameters!$I$25</definedName>
    <definedName name="mega" localSheetId="1">#REF!</definedName>
    <definedName name="mega" localSheetId="3">#REF!</definedName>
    <definedName name="mega" localSheetId="11">#REF!</definedName>
    <definedName name="mega" localSheetId="4">#REF!</definedName>
    <definedName name="mega">#REF!</definedName>
    <definedName name="micro" localSheetId="1">#REF!</definedName>
    <definedName name="micro" localSheetId="11">#REF!</definedName>
    <definedName name="micro" localSheetId="4">#REF!</definedName>
    <definedName name="micro">#REF!</definedName>
    <definedName name="milli" localSheetId="1">#REF!</definedName>
    <definedName name="milli" localSheetId="11">#REF!</definedName>
    <definedName name="milli" localSheetId="4">#REF!</definedName>
    <definedName name="milli">#REF!</definedName>
    <definedName name="Momentum_Wheel_Mass" localSheetId="3">'[6]Attitude Control - Sizing'!$Q$20</definedName>
    <definedName name="Momentum_Wheel_Mass">'[7]Attitude Control - Sizing'!$Q$20</definedName>
    <definedName name="mu" localSheetId="3">#REF!</definedName>
    <definedName name="nano" localSheetId="1">#REF!</definedName>
    <definedName name="nano" localSheetId="3">#REF!</definedName>
    <definedName name="nano" localSheetId="11">#REF!</definedName>
    <definedName name="nano" localSheetId="4">#REF!</definedName>
    <definedName name="nano">#REF!</definedName>
    <definedName name="Originating_Organisation">" "</definedName>
    <definedName name="para_SUB_aa">[5]Subsystem!$A$13</definedName>
    <definedName name="para_SUB_bb">[5]Subsystem!$A$10</definedName>
    <definedName name="para_SUB_cc">[5]Subsystem!$A$11</definedName>
    <definedName name="para_SUB_dd">[5]Subsystem!$A$12</definedName>
    <definedName name="Parameters" localSheetId="1">#REF!</definedName>
    <definedName name="Parameters">#REF!</definedName>
    <definedName name="PasteSpecial" localSheetId="1">Cover!PasteSpecial</definedName>
    <definedName name="PasteSpecial" localSheetId="9">Modes!PasteSpecial</definedName>
    <definedName name="PasteSpecial" localSheetId="3">Objectives!PasteSpecial</definedName>
    <definedName name="PasteSpecial" localSheetId="11">ProductTreeMain!PasteSpecial</definedName>
    <definedName name="PasteSpecial" localSheetId="4">'Thermal- Thermal Budget OCDT'!PasteSpecial</definedName>
    <definedName name="PasteSpecial">Modes!PasteSpecial</definedName>
    <definedName name="PasteSpecial_3" localSheetId="1">Cover!PasteSpecial_3</definedName>
    <definedName name="PasteSpecial_3" localSheetId="9">Modes!PasteSpecial_3</definedName>
    <definedName name="PasteSpecial_3" localSheetId="3">Objectives!PasteSpecial_3</definedName>
    <definedName name="PasteSpecial_3" localSheetId="11">ProductTreeMain!PasteSpecial_3</definedName>
    <definedName name="PasteSpecial_3" localSheetId="4">'Thermal- Thermal Budget OCDT'!PasteSpecial_3</definedName>
    <definedName name="PasteSpecial_3">Modes!PasteSpecial_3</definedName>
    <definedName name="PasteSpecial_6" localSheetId="1">Cover!PasteSpecial_6</definedName>
    <definedName name="PasteSpecial_6" localSheetId="9">Modes!PasteSpecial_6</definedName>
    <definedName name="PasteSpecial_6" localSheetId="3">Objectives!PasteSpecial_6</definedName>
    <definedName name="PasteSpecial_6" localSheetId="11">ProductTreeMain!PasteSpecial_6</definedName>
    <definedName name="PasteSpecial_6" localSheetId="4">'Thermal- Thermal Budget OCDT'!PasteSpecial_6</definedName>
    <definedName name="PasteSpecial_6">Modes!PasteSpecial_6</definedName>
    <definedName name="PasteSpecial_7" localSheetId="1">Cover!PasteSpecial_7</definedName>
    <definedName name="PasteSpecial_7" localSheetId="9">Modes!PasteSpecial_7</definedName>
    <definedName name="PasteSpecial_7" localSheetId="3">Objectives!PasteSpecial_7</definedName>
    <definedName name="PasteSpecial_7" localSheetId="11">ProductTreeMain!PasteSpecial_7</definedName>
    <definedName name="PasteSpecial_7" localSheetId="4">'Thermal- Thermal Budget OCDT'!PasteSpecial_7</definedName>
    <definedName name="PasteSpecial_7">Modes!PasteSpecial_7</definedName>
    <definedName name="PasteSpecial_8" localSheetId="1">Cover!PasteSpecial_8</definedName>
    <definedName name="PasteSpecial_8" localSheetId="9">Modes!PasteSpecial_8</definedName>
    <definedName name="PasteSpecial_8" localSheetId="3">Objectives!PasteSpecial_8</definedName>
    <definedName name="PasteSpecial_8" localSheetId="11">ProductTreeMain!PasteSpecial_8</definedName>
    <definedName name="PasteSpecial_8" localSheetId="4">'Thermal- Thermal Budget OCDT'!PasteSpecial_8</definedName>
    <definedName name="PasteSpecial_8">Modes!PasteSpecial_8</definedName>
    <definedName name="permeability_vacuum" localSheetId="1">#REF!</definedName>
    <definedName name="permeability_vacuum" localSheetId="3">#REF!</definedName>
    <definedName name="permeability_vacuum" localSheetId="11">#REF!</definedName>
    <definedName name="permeability_vacuum" localSheetId="4">#REF!</definedName>
    <definedName name="permeability_vacuum">#REF!</definedName>
    <definedName name="permittivity_vacuum" localSheetId="1">#REF!</definedName>
    <definedName name="permittivity_vacuum" localSheetId="11">#REF!</definedName>
    <definedName name="permittivity_vacuum" localSheetId="4">#REF!</definedName>
    <definedName name="permittivity_vacuum">#REF!</definedName>
    <definedName name="peta" localSheetId="1">#REF!</definedName>
    <definedName name="peta" localSheetId="11">#REF!</definedName>
    <definedName name="peta" localSheetId="4">#REF!</definedName>
    <definedName name="peta">#REF!</definedName>
    <definedName name="pi" localSheetId="1">#REF!</definedName>
    <definedName name="pi" localSheetId="11">#REF!</definedName>
    <definedName name="pi" localSheetId="4">#REF!</definedName>
    <definedName name="pi">#REF!</definedName>
    <definedName name="piko" localSheetId="1">#REF!</definedName>
    <definedName name="piko" localSheetId="11">#REF!</definedName>
    <definedName name="piko" localSheetId="4">#REF!</definedName>
    <definedName name="piko">#REF!</definedName>
    <definedName name="Planck_Constant" localSheetId="12">Constants!$B$2</definedName>
    <definedName name="Planck_Constant" localSheetId="1">#REF!</definedName>
    <definedName name="Planck_Constant" localSheetId="3">#REF!</definedName>
    <definedName name="Planck_Constant" localSheetId="11">#REF!</definedName>
    <definedName name="Planck_Constant">#REF!</definedName>
    <definedName name="Planet_Albedo" localSheetId="1">[16]Constants!$B$32</definedName>
    <definedName name="Planet_Albedo" localSheetId="3">[14]Constants!$B$32</definedName>
    <definedName name="Planet_Albedo">Constants!$B$32</definedName>
    <definedName name="Planet_J2" localSheetId="3">[8]Constants!$B$20</definedName>
    <definedName name="Planet_J2" localSheetId="4">[3]Constants!$B$20</definedName>
    <definedName name="Planet_J2">Constants!$B$20</definedName>
    <definedName name="Planet_Mag_Moment" localSheetId="4">[3]Constants!$B$28</definedName>
    <definedName name="Planet_Mag_Moment">Constants!$B$28</definedName>
    <definedName name="Planet_MaxIR" localSheetId="1">[16]Constants!$B$29</definedName>
    <definedName name="Planet_MaxIR" localSheetId="4">[3]Constants!$B$29</definedName>
    <definedName name="Planet_MaxIR">Constants!$B$29</definedName>
    <definedName name="Planet_MinIR" localSheetId="1">[16]Constants!$B$30</definedName>
    <definedName name="Planet_MinIR" localSheetId="4">[3]Constants!$B$30</definedName>
    <definedName name="Planet_MinIR">Constants!$B$30</definedName>
    <definedName name="Planet_MoonNode" localSheetId="4">[3]Constants!$B$21</definedName>
    <definedName name="Planet_MoonNode">Constants!$B$21</definedName>
    <definedName name="Planet_MoonPer" localSheetId="4">[3]Constants!$B$23</definedName>
    <definedName name="Planet_MoonPer">Constants!$B$23</definedName>
    <definedName name="Planet_Mu" localSheetId="1">[16]Constants!$B$19</definedName>
    <definedName name="Planet_Mu" localSheetId="3">[8]Constants!$B$19</definedName>
    <definedName name="Planet_Mu" localSheetId="11">[15]Constants!$B$19</definedName>
    <definedName name="Planet_Mu" localSheetId="4">[3]Constants!$B$19</definedName>
    <definedName name="Planet_Mu">Constants!$B$19</definedName>
    <definedName name="Planet_OrbitRadius" localSheetId="3">[8]Constants!$B$16</definedName>
    <definedName name="Planet_OrbitRadius" localSheetId="4">[3]Constants!$B$16</definedName>
    <definedName name="Planet_OrbitRadius">Constants!$B$16</definedName>
    <definedName name="Planet_OrbPeriod" localSheetId="4">[3]Constants!$B$17</definedName>
    <definedName name="Planet_OrbPeriod">Constants!$B$17</definedName>
    <definedName name="Planet_Radius" localSheetId="1">[16]Constants!$B$18</definedName>
    <definedName name="Planet_Radius" localSheetId="9">[7]Constants!$B$18</definedName>
    <definedName name="Planet_Radius" localSheetId="3">[9]Constants!$B$18</definedName>
    <definedName name="Planet_Radius" localSheetId="11">[15]Constants!$B$18</definedName>
    <definedName name="Planet_Radius" localSheetId="4">[3]Constants!$B$18</definedName>
    <definedName name="Planet_Radius">Constants!$B$18</definedName>
    <definedName name="Planet_SidDay">Constants!$B$25</definedName>
    <definedName name="Planet_SolarDay" localSheetId="4">[3]Constants!$B$26</definedName>
    <definedName name="Planet_SolarDay">Constants!$B$26</definedName>
    <definedName name="Planet_SunNode" localSheetId="4">[3]Constants!$B$22</definedName>
    <definedName name="Planet_SunNode">Constants!$B$22</definedName>
    <definedName name="Planet_SunPer" localSheetId="4">[3]Constants!$B$24</definedName>
    <definedName name="Planet_SunPer">Constants!$B$24</definedName>
    <definedName name="Planet_Vel" localSheetId="3">[8]Constants!$B$27</definedName>
    <definedName name="Planet_Vel" localSheetId="4">[3]Constants!$B$27</definedName>
    <definedName name="Planet_Vel">Constants!$B$27</definedName>
    <definedName name="plank" localSheetId="3">#REF!</definedName>
    <definedName name="Pressnt\m\\" localSheetId="1">#REF!</definedName>
    <definedName name="Pressnt\m\\" localSheetId="3">[14]Parameters!$I$5</definedName>
    <definedName name="Pressnt\m\\">#REF!</definedName>
    <definedName name="_xlnm.Print_Area" localSheetId="8">'Thermal Control - Solar Array'!$B$1:$I$38</definedName>
    <definedName name="_xlnm.Print_Area" localSheetId="6">'Thermal Control - Spherical'!$B$1:$I$48</definedName>
    <definedName name="Prop\m\\" localSheetId="1">#REF!</definedName>
    <definedName name="Prop\m\\" localSheetId="3">[1]Parameters!$I$26</definedName>
    <definedName name="Prop\m\\">#REF!</definedName>
    <definedName name="Prop\P\\">[1]Parameters!$I$28</definedName>
    <definedName name="Prop\P_duty_cyc\\">[1]Parameters!$I$29</definedName>
    <definedName name="Q" localSheetId="1">#REF!</definedName>
    <definedName name="Q" localSheetId="3">#REF!</definedName>
    <definedName name="Q" localSheetId="4">#REF!</definedName>
    <definedName name="Q">#REF!</definedName>
    <definedName name="Q_2" localSheetId="1">#REF!</definedName>
    <definedName name="Q_2" localSheetId="4">#REF!</definedName>
    <definedName name="Q_2">#REF!</definedName>
    <definedName name="Q1_2" localSheetId="1">#REF!</definedName>
    <definedName name="Q1_2" localSheetId="4">#REF!</definedName>
    <definedName name="Q1_2">#REF!</definedName>
    <definedName name="RadToDeg" localSheetId="3">[12]Constants!$B$40</definedName>
    <definedName name="RadToDeg">[12]Constants!$B$40</definedName>
    <definedName name="Rain_Temp" localSheetId="12">Constants!$B$37</definedName>
    <definedName name="Rain_Temp" localSheetId="1">#REF!</definedName>
    <definedName name="Rain_Temp" localSheetId="3">#REF!</definedName>
    <definedName name="Rain_Temp" localSheetId="11">#REF!</definedName>
    <definedName name="Rain_Temp">#REF!</definedName>
    <definedName name="Range_default" localSheetId="1">#REF!</definedName>
    <definedName name="Range_default">#REF!</definedName>
    <definedName name="Re" localSheetId="3">#REF!</definedName>
    <definedName name="Reaction_Wheel_Mass" localSheetId="3">'[6]Attitude Control - Sizing'!$Q$30</definedName>
    <definedName name="Reaction_Wheel_Mass">'[7]Attitude Control - Sizing'!$Q$30</definedName>
    <definedName name="Reference">" "</definedName>
    <definedName name="remark_SUB_aa">[5]Subsystem!$H$13</definedName>
    <definedName name="remark_SUB_bb">[5]Subsystem!$H$10</definedName>
    <definedName name="remark_SUB_cc">[5]Subsystem!$H$11</definedName>
    <definedName name="remark_SUB_dd">[5]Subsystem!$H$12</definedName>
    <definedName name="Revision">" "</definedName>
    <definedName name="rgeo" localSheetId="1">#REF!</definedName>
    <definedName name="rgeo" localSheetId="3">#REF!</definedName>
    <definedName name="rgeo" localSheetId="4">#REF!</definedName>
    <definedName name="rgeo">#REF!</definedName>
    <definedName name="sol" localSheetId="1">#REF!</definedName>
    <definedName name="sol" localSheetId="3">#REF!</definedName>
    <definedName name="sol" localSheetId="4">#REF!</definedName>
    <definedName name="sol">#REF!</definedName>
    <definedName name="Solar_Flux" localSheetId="1">#REF!</definedName>
    <definedName name="Solar_Flux" localSheetId="9">[7]Constants!$B$33</definedName>
    <definedName name="Solar_Flux" localSheetId="3">[6]Constants!$B$33</definedName>
    <definedName name="Solar_Flux" localSheetId="11">#REF!</definedName>
    <definedName name="Solar_Flux" localSheetId="4">[11]Constants!$B$33</definedName>
    <definedName name="Solar_Flux">#REF!</definedName>
    <definedName name="solar_flux_1AU" localSheetId="1">#REF!</definedName>
    <definedName name="solar_flux_1AU" localSheetId="3">#REF!</definedName>
    <definedName name="solar_flux_1AU" localSheetId="11">#REF!</definedName>
    <definedName name="solar_flux_1AU" localSheetId="4">#REF!</definedName>
    <definedName name="solar_flux_1AU">#REF!</definedName>
    <definedName name="Solar_mass" localSheetId="1">#REF!</definedName>
    <definedName name="Solar_mass" localSheetId="11">#REF!</definedName>
    <definedName name="Solar_mass" localSheetId="4">#REF!</definedName>
    <definedName name="Solar_mass">#REF!</definedName>
    <definedName name="Solar_radius" localSheetId="1">#REF!</definedName>
    <definedName name="Solar_radius" localSheetId="11">#REF!</definedName>
    <definedName name="Solar_radius" localSheetId="4">#REF!</definedName>
    <definedName name="Solar_radius">#REF!</definedName>
    <definedName name="Spacecraft\delta_v\\" localSheetId="1">#REF!</definedName>
    <definedName name="Spacecraft\delta_v\\" localSheetId="3">[14]Parameters!$I$2</definedName>
    <definedName name="Spacecraft\delta_v\\">#REF!</definedName>
    <definedName name="Spacecraft\mass_dry\\" localSheetId="1">#REF!</definedName>
    <definedName name="Spacecraft\mass_dry\\" localSheetId="3">[14]Parameters!$I$3</definedName>
    <definedName name="Spacecraft\mass_dry\\">#REF!</definedName>
    <definedName name="Spacecraft\mass_wet\\" localSheetId="1">#REF!</definedName>
    <definedName name="Spacecraft\mass_wet\\" localSheetId="3">[14]Parameters!$I$4</definedName>
    <definedName name="Spacecraft\mass_wet\\">#REF!</definedName>
    <definedName name="Speed_of_Light" localSheetId="12">Constants!$B$1</definedName>
    <definedName name="Speed_of_Light" localSheetId="1">#REF!</definedName>
    <definedName name="Speed_of_Light" localSheetId="9">[7]Constants!$B$1</definedName>
    <definedName name="Speed_of_Light" localSheetId="3">[6]Constants!$B$1</definedName>
    <definedName name="Speed_of_Light" localSheetId="11">#REF!</definedName>
    <definedName name="Speed_of_Light" localSheetId="10">#REF!</definedName>
    <definedName name="Speed_of_Light">#REF!</definedName>
    <definedName name="States" localSheetId="1">#REF!</definedName>
    <definedName name="States">#REF!</definedName>
    <definedName name="Status">" "</definedName>
    <definedName name="Stefan_Boltzmann_Constant" localSheetId="12">Constants!$B$4</definedName>
    <definedName name="Stefan_Boltzmann_Constant" localSheetId="1">#REF!</definedName>
    <definedName name="Stefan_Boltzmann_Constant" localSheetId="3">#REF!</definedName>
    <definedName name="Stefan_Boltzmann_Constant" localSheetId="11">#REF!</definedName>
    <definedName name="Stefan_Boltzmann_Constant">#REF!</definedName>
    <definedName name="Stefan_Boltzmann_Constants" localSheetId="1">[16]Constants!$B$4</definedName>
    <definedName name="Stefan_Boltzmann_Constants" localSheetId="3">[14]Constants!$B$4</definedName>
    <definedName name="Stefan_Boltzmann_Constants">Constants!$B$4</definedName>
    <definedName name="step" localSheetId="1">#REF!</definedName>
    <definedName name="step" localSheetId="3">#REF!</definedName>
    <definedName name="step" localSheetId="4">#REF!</definedName>
    <definedName name="step">#REF!</definedName>
    <definedName name="STR\m\\">[1]Parameters!$I$30</definedName>
    <definedName name="STR\P\\">[1]Parameters!$I$32</definedName>
    <definedName name="STR\P_duty_cyc\\">[1]Parameters!$I$33</definedName>
    <definedName name="SUB_aa">[5]Subsystem!$G$13</definedName>
    <definedName name="SUB_bb">[5]Subsystem!$G$10</definedName>
    <definedName name="SUB_cc">[5]Subsystem!$G$11</definedName>
    <definedName name="SUB_dd">[5]Subsystem!$G$12</definedName>
    <definedName name="Subject">" "</definedName>
    <definedName name="Sun_Mu" localSheetId="3">[8]Constants!$B$7</definedName>
    <definedName name="Sun_Mu" localSheetId="4">[3]Constants!$B$7</definedName>
    <definedName name="Sun_Mu">Constants!$B$7</definedName>
    <definedName name="Sun_radi_1AU" localSheetId="1">#REF!</definedName>
    <definedName name="Sun_radi_1AU" localSheetId="3">#REF!</definedName>
    <definedName name="Sun_radi_1AU" localSheetId="11">#REF!</definedName>
    <definedName name="Sun_radi_1AU" localSheetId="4">#REF!</definedName>
    <definedName name="Sun_radi_1AU">#REF!</definedName>
    <definedName name="temp_deep_space" localSheetId="1">#REF!</definedName>
    <definedName name="temp_deep_space" localSheetId="11">#REF!</definedName>
    <definedName name="temp_deep_space" localSheetId="4">#REF!</definedName>
    <definedName name="temp_deep_space">#REF!</definedName>
    <definedName name="tera" localSheetId="1">#REF!</definedName>
    <definedName name="tera" localSheetId="11">#REF!</definedName>
    <definedName name="tera" localSheetId="4">#REF!</definedName>
    <definedName name="tera">#REF!</definedName>
    <definedName name="THR\m\\">[1]Parameters!$I$34</definedName>
    <definedName name="THR\P\\">[1]Parameters!$I$36</definedName>
    <definedName name="THR\P_duty_cyc\\">[1]Parameters!$I$37</definedName>
    <definedName name="Title">""</definedName>
    <definedName name="tsid" localSheetId="1">#REF!</definedName>
    <definedName name="tsid" localSheetId="3">#REF!</definedName>
    <definedName name="tsid" localSheetId="4">#REF!</definedName>
    <definedName name="tsid">#REF!</definedName>
    <definedName name="units_SUB_aa">[5]Subsystem!$E$13</definedName>
    <definedName name="units_SUB_bb">[5]Subsystem!$E$10</definedName>
    <definedName name="units_SUB_cc">[5]Subsystem!$E$11</definedName>
    <definedName name="units_SUB_dd">[5]Subsystem!$E$12</definedName>
    <definedName name="ve" localSheetId="3">#REF!</definedName>
    <definedName name="yocto" localSheetId="1">#REF!</definedName>
    <definedName name="yocto" localSheetId="3">#REF!</definedName>
    <definedName name="yocto" localSheetId="11">#REF!</definedName>
    <definedName name="yocto" localSheetId="4">#REF!</definedName>
    <definedName name="yocto">#REF!</definedName>
    <definedName name="yotta" localSheetId="1">#REF!</definedName>
    <definedName name="yotta" localSheetId="11">#REF!</definedName>
    <definedName name="yotta" localSheetId="4">#REF!</definedName>
    <definedName name="yotta">#REF!</definedName>
    <definedName name="zepto" localSheetId="1">#REF!</definedName>
    <definedName name="zepto" localSheetId="11">#REF!</definedName>
    <definedName name="zepto" localSheetId="4">#REF!</definedName>
    <definedName name="zepto">#REF!</definedName>
    <definedName name="zetta" localSheetId="1">#REF!</definedName>
    <definedName name="zetta" localSheetId="11">#REF!</definedName>
    <definedName name="zetta" localSheetId="4">#REF!</definedName>
    <definedName name="zetta">#REF!</definedName>
  </definedNames>
  <calcPr calcId="162913"/>
  <pivotCaches>
    <pivotCache cacheId="1" r:id="rId30"/>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25" i="4" l="1"/>
  <c r="D24" i="4"/>
  <c r="H28" i="4" l="1"/>
  <c r="I11" i="16" l="1"/>
  <c r="I10" i="16"/>
  <c r="D16" i="4" l="1"/>
  <c r="I16" i="4" l="1"/>
  <c r="B17" i="15" l="1"/>
  <c r="B18" i="15"/>
  <c r="D16" i="15" s="1"/>
  <c r="C13" i="15"/>
  <c r="B19" i="15"/>
  <c r="E16" i="15" s="1"/>
  <c r="E18" i="15" s="1"/>
  <c r="E13" i="15"/>
  <c r="B20" i="15"/>
  <c r="F16" i="15" s="1"/>
  <c r="G13" i="15"/>
  <c r="I13" i="15"/>
  <c r="B22" i="15"/>
  <c r="H16" i="15"/>
  <c r="H19" i="15" s="1"/>
  <c r="E22" i="15" s="1"/>
  <c r="H17" i="15"/>
  <c r="C22" i="15" s="1"/>
  <c r="B23" i="15"/>
  <c r="R38" i="15" s="1"/>
  <c r="B24" i="15"/>
  <c r="R39" i="15" s="1"/>
  <c r="J16" i="15"/>
  <c r="B25" i="15"/>
  <c r="N25" i="15" s="1"/>
  <c r="K16" i="15"/>
  <c r="K20" i="15" s="1"/>
  <c r="F25" i="15" s="1"/>
  <c r="B26" i="15"/>
  <c r="R41" i="15" s="1"/>
  <c r="L16" i="15"/>
  <c r="L19" i="15" s="1"/>
  <c r="E26" i="15" s="1"/>
  <c r="L17" i="15"/>
  <c r="C26" i="15" s="1"/>
  <c r="L18" i="15"/>
  <c r="D26" i="15" s="1"/>
  <c r="K19" i="15"/>
  <c r="E25" i="15" s="1"/>
  <c r="J20" i="15"/>
  <c r="F24" i="15" s="1"/>
  <c r="L20" i="15"/>
  <c r="F26" i="15" s="1"/>
  <c r="B21" i="15"/>
  <c r="B36" i="15" s="1"/>
  <c r="L21" i="15"/>
  <c r="G26" i="15" s="1"/>
  <c r="M22" i="15"/>
  <c r="M24" i="15"/>
  <c r="M26" i="15"/>
  <c r="N22" i="15"/>
  <c r="N24" i="15"/>
  <c r="N26" i="15"/>
  <c r="R37" i="15"/>
  <c r="R40" i="15"/>
  <c r="B41" i="15"/>
  <c r="B37" i="15"/>
  <c r="B35" i="15"/>
  <c r="B33" i="15"/>
  <c r="B32" i="15"/>
  <c r="P26" i="15"/>
  <c r="L25" i="15"/>
  <c r="K26" i="15" s="1"/>
  <c r="L23" i="15"/>
  <c r="I26" i="15"/>
  <c r="K22" i="15"/>
  <c r="H25" i="15" s="1"/>
  <c r="P24" i="15"/>
  <c r="P22" i="15"/>
  <c r="C16" i="15"/>
  <c r="S13" i="15"/>
  <c r="Q13" i="15"/>
  <c r="O13" i="15"/>
  <c r="M13" i="15"/>
  <c r="K13" i="15"/>
  <c r="K14" i="13"/>
  <c r="D30" i="4"/>
  <c r="K15" i="13"/>
  <c r="D31" i="4" s="1"/>
  <c r="D27" i="4"/>
  <c r="D9" i="5"/>
  <c r="D8" i="5"/>
  <c r="I42" i="4"/>
  <c r="I43" i="4" s="1"/>
  <c r="B32" i="9"/>
  <c r="I17" i="4" s="1"/>
  <c r="I19" i="5" s="1"/>
  <c r="B30" i="9"/>
  <c r="I19" i="4" s="1"/>
  <c r="B29" i="9"/>
  <c r="I18" i="4" s="1"/>
  <c r="I20" i="5" s="1"/>
  <c r="B18" i="9"/>
  <c r="D17" i="4" s="1"/>
  <c r="B19" i="9"/>
  <c r="B1" i="9"/>
  <c r="B2" i="9"/>
  <c r="B3" i="9"/>
  <c r="B4" i="9"/>
  <c r="G5" i="9"/>
  <c r="H5" i="9"/>
  <c r="I5" i="9"/>
  <c r="Q5" i="9" s="1" a="1"/>
  <c r="K5" i="9" a="1"/>
  <c r="G6" i="9"/>
  <c r="H6" i="9"/>
  <c r="I6" i="9"/>
  <c r="Q6" i="9" s="1" a="1"/>
  <c r="K6" i="9" a="1"/>
  <c r="L6" i="9"/>
  <c r="G7" i="9"/>
  <c r="M7" i="9" s="1" a="1"/>
  <c r="H7" i="9"/>
  <c r="O7" i="9" s="1" a="1"/>
  <c r="O7" i="9" s="1"/>
  <c r="I7" i="9"/>
  <c r="K7" i="9" a="1"/>
  <c r="L7" i="9" s="1"/>
  <c r="K7" i="9"/>
  <c r="G8" i="9"/>
  <c r="H8" i="9"/>
  <c r="I8" i="9"/>
  <c r="K8" i="9" a="1"/>
  <c r="L8" i="9" s="1"/>
  <c r="G9" i="9"/>
  <c r="M8" i="9" s="1" a="1"/>
  <c r="N8" i="9" s="1"/>
  <c r="H9" i="9"/>
  <c r="I9" i="9"/>
  <c r="K9" i="9" a="1"/>
  <c r="L9" i="9" s="1"/>
  <c r="G10" i="9"/>
  <c r="H10" i="9"/>
  <c r="O10" i="9" s="1" a="1"/>
  <c r="P10" i="9" s="1"/>
  <c r="I10" i="9"/>
  <c r="K10" i="9" a="1"/>
  <c r="L10" i="9"/>
  <c r="G11" i="9"/>
  <c r="M11" i="9" s="1" a="1"/>
  <c r="H11" i="9"/>
  <c r="I11" i="9"/>
  <c r="Q11" i="9" s="1" a="1"/>
  <c r="R11" i="9" s="1"/>
  <c r="K11" i="9" a="1"/>
  <c r="K11" i="9" s="1"/>
  <c r="G12" i="9"/>
  <c r="M12" i="9" a="1"/>
  <c r="M12" i="9" s="1"/>
  <c r="H12" i="9"/>
  <c r="O12" i="9" s="1" a="1"/>
  <c r="I12" i="9"/>
  <c r="K12" i="9" a="1"/>
  <c r="K12" i="9" s="1"/>
  <c r="L12" i="9"/>
  <c r="B13" i="9"/>
  <c r="G13" i="9"/>
  <c r="M13" i="9" s="1" a="1"/>
  <c r="H13" i="9"/>
  <c r="I13" i="9"/>
  <c r="Q12" i="9" s="1" a="1"/>
  <c r="K13" i="9" a="1"/>
  <c r="K13" i="9" s="1"/>
  <c r="G14" i="9"/>
  <c r="H14" i="9"/>
  <c r="I14" i="9"/>
  <c r="K14" i="9" a="1"/>
  <c r="G15" i="9"/>
  <c r="M14" i="9" s="1" a="1"/>
  <c r="H15" i="9"/>
  <c r="I15" i="9"/>
  <c r="K15" i="9" a="1"/>
  <c r="L15" i="9"/>
  <c r="K15" i="9"/>
  <c r="G16" i="9"/>
  <c r="H16" i="9"/>
  <c r="I16" i="9"/>
  <c r="K16" i="9" a="1"/>
  <c r="K16" i="9" s="1"/>
  <c r="G17" i="9"/>
  <c r="H17" i="9"/>
  <c r="I17" i="9"/>
  <c r="K17" i="9" a="1"/>
  <c r="K17" i="9"/>
  <c r="G18" i="9"/>
  <c r="H18" i="9"/>
  <c r="I18" i="9"/>
  <c r="K18" i="9" a="1"/>
  <c r="K18" i="9" s="1"/>
  <c r="G19" i="9"/>
  <c r="H19" i="9"/>
  <c r="O18" i="9" s="1" a="1"/>
  <c r="I19" i="9"/>
  <c r="K19" i="9" a="1"/>
  <c r="G20" i="9"/>
  <c r="H20" i="9"/>
  <c r="O20" i="9" s="1" a="1"/>
  <c r="I20" i="9"/>
  <c r="Q20" i="9" s="1" a="1"/>
  <c r="K20" i="9" a="1"/>
  <c r="K20" i="9" s="1"/>
  <c r="G21" i="9"/>
  <c r="H21" i="9"/>
  <c r="I21" i="9"/>
  <c r="K21" i="9" a="1"/>
  <c r="K21" i="9"/>
  <c r="G22" i="9"/>
  <c r="M22" i="9" s="1" a="1"/>
  <c r="H22" i="9"/>
  <c r="I22" i="9"/>
  <c r="Q21" i="9" s="1" a="1"/>
  <c r="K22" i="9" a="1"/>
  <c r="K22" i="9" s="1"/>
  <c r="G23" i="9"/>
  <c r="M23" i="9" s="1" a="1"/>
  <c r="H23" i="9"/>
  <c r="O22" i="9" s="1" a="1"/>
  <c r="I23" i="9"/>
  <c r="K23" i="9" a="1"/>
  <c r="G24" i="9"/>
  <c r="M24" i="9" s="1" a="1"/>
  <c r="M24" i="9" s="1"/>
  <c r="H24" i="9"/>
  <c r="I24" i="9"/>
  <c r="Q23" i="9" s="1" a="1"/>
  <c r="K24" i="9" a="1"/>
  <c r="K24" i="9"/>
  <c r="B25" i="9"/>
  <c r="G25" i="9"/>
  <c r="H25" i="9"/>
  <c r="O24" i="9" s="1" a="1"/>
  <c r="I25" i="9"/>
  <c r="Q25" i="9" s="1" a="1"/>
  <c r="K25" i="9" a="1"/>
  <c r="K25" i="9"/>
  <c r="B26" i="9"/>
  <c r="G26" i="9"/>
  <c r="H26" i="9"/>
  <c r="I26" i="9"/>
  <c r="B39" i="9"/>
  <c r="L55" i="9"/>
  <c r="M55" i="9"/>
  <c r="L56" i="9"/>
  <c r="M56" i="9"/>
  <c r="L57" i="9"/>
  <c r="M57" i="9"/>
  <c r="L58" i="9"/>
  <c r="M58" i="9"/>
  <c r="L59" i="9"/>
  <c r="M59" i="9"/>
  <c r="T66" i="9"/>
  <c r="U66" i="9"/>
  <c r="W66" i="9"/>
  <c r="AG66" i="9"/>
  <c r="AH66" i="9"/>
  <c r="AJ66" i="9"/>
  <c r="T67" i="9"/>
  <c r="Y67" i="9" s="1"/>
  <c r="X68" i="9" s="1"/>
  <c r="U67" i="9"/>
  <c r="AE68" i="9" s="1"/>
  <c r="AG67" i="9"/>
  <c r="AH67" i="9"/>
  <c r="T68" i="9"/>
  <c r="U68" i="9"/>
  <c r="AG68" i="9"/>
  <c r="AH68" i="9"/>
  <c r="T69" i="9"/>
  <c r="U69" i="9"/>
  <c r="AG69" i="9"/>
  <c r="AH69" i="9"/>
  <c r="T71" i="9"/>
  <c r="U71" i="9"/>
  <c r="W71" i="9"/>
  <c r="AG71" i="9"/>
  <c r="AH71" i="9"/>
  <c r="AR73" i="9" s="1"/>
  <c r="AJ71" i="9"/>
  <c r="T72" i="9"/>
  <c r="U72" i="9"/>
  <c r="AG72" i="9"/>
  <c r="AJ72" i="9" s="1"/>
  <c r="AK71" i="9" s="1"/>
  <c r="AH72" i="9"/>
  <c r="T73" i="9"/>
  <c r="U73" i="9"/>
  <c r="AG73" i="9"/>
  <c r="AH73" i="9"/>
  <c r="T74" i="9"/>
  <c r="U74" i="9"/>
  <c r="AG74" i="9"/>
  <c r="AH74" i="9"/>
  <c r="H79" i="9"/>
  <c r="K79" i="9"/>
  <c r="H80" i="9"/>
  <c r="K80" i="9"/>
  <c r="T87" i="9"/>
  <c r="U87" i="9"/>
  <c r="W87" i="9"/>
  <c r="AG87" i="9"/>
  <c r="AR88" i="9" s="1"/>
  <c r="AH87" i="9"/>
  <c r="T88" i="9"/>
  <c r="U88" i="9"/>
  <c r="AG88" i="9"/>
  <c r="AH88" i="9"/>
  <c r="T89" i="9"/>
  <c r="U89" i="9"/>
  <c r="AG89" i="9"/>
  <c r="AH89" i="9"/>
  <c r="T90" i="9"/>
  <c r="U90" i="9"/>
  <c r="K98" i="9"/>
  <c r="K99" i="9" s="1"/>
  <c r="K100" i="9" s="1"/>
  <c r="K101" i="9" s="1"/>
  <c r="K102" i="9" s="1"/>
  <c r="K103" i="9" s="1"/>
  <c r="K104" i="9" s="1"/>
  <c r="K105" i="9" s="1"/>
  <c r="K106" i="9" s="1"/>
  <c r="K107" i="9" s="1"/>
  <c r="M98" i="9" s="1"/>
  <c r="M99" i="9" s="1"/>
  <c r="M100" i="9" s="1"/>
  <c r="M101" i="9" s="1"/>
  <c r="M102" i="9" s="1"/>
  <c r="M103" i="9" s="1"/>
  <c r="M104" i="9" s="1"/>
  <c r="M105" i="9" s="1"/>
  <c r="M106" i="9" s="1"/>
  <c r="M107" i="9" s="1"/>
  <c r="E99" i="9"/>
  <c r="E100" i="9" s="1"/>
  <c r="E101" i="9" s="1"/>
  <c r="E102" i="9" s="1"/>
  <c r="E103" i="9" s="1"/>
  <c r="E104" i="9" s="1"/>
  <c r="E105" i="9" s="1"/>
  <c r="E106" i="9" s="1"/>
  <c r="E107" i="9" s="1"/>
  <c r="G98" i="9" s="1"/>
  <c r="G99" i="9" s="1"/>
  <c r="G100" i="9" s="1"/>
  <c r="G101" i="9" s="1"/>
  <c r="G102" i="9" s="1"/>
  <c r="G103" i="9" s="1"/>
  <c r="G104" i="9" s="1"/>
  <c r="G105" i="9" s="1"/>
  <c r="G106" i="9" s="1"/>
  <c r="G107" i="9" s="1"/>
  <c r="J98" i="9" s="1"/>
  <c r="J99" i="9" s="1"/>
  <c r="J100" i="9" s="1"/>
  <c r="J101" i="9" s="1"/>
  <c r="J102" i="9" s="1"/>
  <c r="J103" i="9" s="1"/>
  <c r="J104" i="9" s="1"/>
  <c r="J105" i="9" s="1"/>
  <c r="J106" i="9" s="1"/>
  <c r="J107" i="9" s="1"/>
  <c r="L98" i="9" s="1"/>
  <c r="L99" i="9" s="1"/>
  <c r="L100" i="9" s="1"/>
  <c r="L101" i="9" s="1"/>
  <c r="L102" i="9" s="1"/>
  <c r="L103" i="9" s="1"/>
  <c r="L104" i="9" s="1"/>
  <c r="L105" i="9" s="1"/>
  <c r="L106" i="9" s="1"/>
  <c r="L107" i="9" s="1"/>
  <c r="I114" i="9"/>
  <c r="G115" i="9"/>
  <c r="H115" i="9"/>
  <c r="I116" i="9"/>
  <c r="I117" i="9"/>
  <c r="I118" i="9"/>
  <c r="I119" i="9"/>
  <c r="I120" i="9"/>
  <c r="I121" i="9"/>
  <c r="I122" i="9"/>
  <c r="I123" i="9"/>
  <c r="I124" i="9"/>
  <c r="I125" i="9"/>
  <c r="I126" i="9"/>
  <c r="L17" i="9"/>
  <c r="AJ88" i="9"/>
  <c r="AK87" i="9" s="1"/>
  <c r="K10" i="9"/>
  <c r="O5" i="9" a="1"/>
  <c r="P5" i="9" s="1"/>
  <c r="Q22" i="9" a="1"/>
  <c r="Q22" i="9" s="1"/>
  <c r="Q21" i="9"/>
  <c r="Q10" i="9" a="1"/>
  <c r="Q10" i="9" s="1"/>
  <c r="Q9" i="9" a="1"/>
  <c r="Q9" i="9" s="1"/>
  <c r="L24" i="9"/>
  <c r="O23" i="9" a="1"/>
  <c r="L21" i="9"/>
  <c r="Q14" i="9" a="1"/>
  <c r="Q14" i="9" s="1"/>
  <c r="Q13" i="9" a="1"/>
  <c r="Q13" i="9" s="1"/>
  <c r="L25" i="9"/>
  <c r="O13" i="9" a="1"/>
  <c r="P13" i="9" s="1"/>
  <c r="K6" i="9"/>
  <c r="AE87" i="9"/>
  <c r="AR87" i="9"/>
  <c r="K14" i="9"/>
  <c r="L14" i="9"/>
  <c r="K5" i="9"/>
  <c r="L5" i="9"/>
  <c r="M19" i="9" a="1"/>
  <c r="N19" i="9" s="1"/>
  <c r="R21" i="9"/>
  <c r="O25" i="9" a="1"/>
  <c r="O25" i="9" s="1"/>
  <c r="L18" i="9"/>
  <c r="K9" i="9"/>
  <c r="AE89" i="9"/>
  <c r="AR71" i="9"/>
  <c r="M9" i="9" a="1"/>
  <c r="M9" i="9" s="1"/>
  <c r="M5" i="9" a="1"/>
  <c r="N5" i="9" s="1"/>
  <c r="R22" i="9"/>
  <c r="O13" i="9"/>
  <c r="N14" i="9"/>
  <c r="M14" i="9"/>
  <c r="M5" i="9"/>
  <c r="R20" i="9"/>
  <c r="Q20" i="9"/>
  <c r="I12" i="4"/>
  <c r="I11" i="4"/>
  <c r="I17" i="5"/>
  <c r="D20" i="4"/>
  <c r="D21" i="4" s="1"/>
  <c r="I18" i="5"/>
  <c r="D26" i="5"/>
  <c r="D25" i="5"/>
  <c r="D24" i="5"/>
  <c r="D23" i="5"/>
  <c r="I23" i="5" s="1"/>
  <c r="D20" i="5"/>
  <c r="D27" i="5" s="1"/>
  <c r="D17" i="5"/>
  <c r="D28" i="4"/>
  <c r="G91" i="4"/>
  <c r="F91" i="4"/>
  <c r="D30" i="5"/>
  <c r="D32" i="5"/>
  <c r="I10" i="4"/>
  <c r="I9" i="4"/>
  <c r="D31" i="5" s="1"/>
  <c r="I21" i="4" l="1"/>
  <c r="D42" i="4"/>
  <c r="D43" i="4" s="1"/>
  <c r="R12" i="9"/>
  <c r="Q12" i="9"/>
  <c r="R25" i="9"/>
  <c r="Q25" i="9"/>
  <c r="M22" i="9"/>
  <c r="N22" i="9"/>
  <c r="P20" i="9"/>
  <c r="O20" i="9"/>
  <c r="N13" i="9"/>
  <c r="M13" i="9"/>
  <c r="R6" i="9"/>
  <c r="Q6" i="9"/>
  <c r="Q5" i="9"/>
  <c r="R5" i="9"/>
  <c r="M23" i="9"/>
  <c r="N23" i="9"/>
  <c r="P24" i="9"/>
  <c r="O24" i="9"/>
  <c r="O12" i="9"/>
  <c r="P12" i="9"/>
  <c r="M7" i="9"/>
  <c r="N7" i="9"/>
  <c r="O17" i="9" a="1"/>
  <c r="P25" i="9"/>
  <c r="Q11" i="9"/>
  <c r="M19" i="9"/>
  <c r="R13" i="9"/>
  <c r="W68" i="9"/>
  <c r="X67" i="9" s="1"/>
  <c r="Y66" i="9" s="1"/>
  <c r="AB67" i="9" s="1"/>
  <c r="M8" i="9"/>
  <c r="N12" i="9"/>
  <c r="L22" i="9"/>
  <c r="O11" i="9" a="1"/>
  <c r="W67" i="9"/>
  <c r="X66" i="9" s="1"/>
  <c r="L16" i="9"/>
  <c r="AK88" i="9"/>
  <c r="AE88" i="9"/>
  <c r="M25" i="9" a="1"/>
  <c r="L20" i="9"/>
  <c r="M17" i="9" a="1"/>
  <c r="O16" i="9" a="1"/>
  <c r="O16" i="9" s="1"/>
  <c r="L13" i="9"/>
  <c r="M6" i="9" a="1"/>
  <c r="P25" i="15"/>
  <c r="L24" i="15"/>
  <c r="J26" i="15" s="1"/>
  <c r="M25" i="15"/>
  <c r="K21" i="15"/>
  <c r="G25" i="15" s="1"/>
  <c r="K18" i="15"/>
  <c r="D25" i="15" s="1"/>
  <c r="M21" i="9" a="1"/>
  <c r="M18" i="9" a="1"/>
  <c r="K24" i="15"/>
  <c r="J25" i="15" s="1"/>
  <c r="D33" i="5"/>
  <c r="N9" i="9"/>
  <c r="R9" i="9"/>
  <c r="M15" i="9" a="1"/>
  <c r="N15" i="9" s="1"/>
  <c r="L11" i="9"/>
  <c r="B27" i="9"/>
  <c r="O21" i="9" a="1"/>
  <c r="O19" i="9" a="1"/>
  <c r="O9" i="9" a="1"/>
  <c r="L22" i="15"/>
  <c r="H26" i="15" s="1"/>
  <c r="H21" i="15"/>
  <c r="G22" i="15" s="1"/>
  <c r="H20" i="15"/>
  <c r="F22" i="15" s="1"/>
  <c r="H18" i="15"/>
  <c r="D22" i="15" s="1"/>
  <c r="K17" i="15"/>
  <c r="C25" i="15" s="1"/>
  <c r="R23" i="9"/>
  <c r="Q23" i="9"/>
  <c r="M17" i="9"/>
  <c r="N17" i="9"/>
  <c r="O22" i="9"/>
  <c r="P22" i="9"/>
  <c r="N11" i="9"/>
  <c r="M11" i="9"/>
  <c r="P9" i="9"/>
  <c r="O9" i="9"/>
  <c r="M25" i="9"/>
  <c r="N25" i="9"/>
  <c r="AN88" i="9"/>
  <c r="AN87" i="9"/>
  <c r="AO87" i="9"/>
  <c r="AO88" i="9"/>
  <c r="AJ67" i="9"/>
  <c r="AK66" i="9" s="1"/>
  <c r="AL68" i="9"/>
  <c r="AJ68" i="9"/>
  <c r="AK67" i="9" s="1"/>
  <c r="AL66" i="9" s="1"/>
  <c r="AL67" i="9"/>
  <c r="AK68" i="9" s="1"/>
  <c r="AR67" i="9"/>
  <c r="L19" i="9"/>
  <c r="K19" i="9"/>
  <c r="O6" i="9" a="1"/>
  <c r="P23" i="15"/>
  <c r="P7" i="9"/>
  <c r="M15" i="9"/>
  <c r="M10" i="9" a="1"/>
  <c r="M16" i="9" a="1"/>
  <c r="Y89" i="9"/>
  <c r="W89" i="9"/>
  <c r="X88" i="9" s="1"/>
  <c r="Y87" i="9" s="1"/>
  <c r="W88" i="9"/>
  <c r="X87" i="9" s="1"/>
  <c r="Y88" i="9"/>
  <c r="X89" i="9" s="1"/>
  <c r="W73" i="9"/>
  <c r="X72" i="9" s="1"/>
  <c r="Y71" i="9" s="1"/>
  <c r="Y73" i="9"/>
  <c r="AE72" i="9"/>
  <c r="Y72" i="9"/>
  <c r="X73" i="9" s="1"/>
  <c r="W72" i="9"/>
  <c r="X71" i="9" s="1"/>
  <c r="Y68" i="9"/>
  <c r="Q24" i="9" a="1"/>
  <c r="Q19" i="9" a="1"/>
  <c r="Q18" i="9" a="1"/>
  <c r="Q17" i="9" a="1"/>
  <c r="O8" i="9" a="1"/>
  <c r="AC67" i="9"/>
  <c r="N24" i="9"/>
  <c r="R14" i="9"/>
  <c r="R10" i="9"/>
  <c r="AE73" i="9"/>
  <c r="AE67" i="9"/>
  <c r="AE71" i="9"/>
  <c r="AJ73" i="9"/>
  <c r="AK72" i="9" s="1"/>
  <c r="AL71" i="9" s="1"/>
  <c r="AL73" i="9"/>
  <c r="AL72" i="9"/>
  <c r="AK73" i="9" s="1"/>
  <c r="AR72" i="9"/>
  <c r="AR66" i="9"/>
  <c r="AE66" i="9"/>
  <c r="M20" i="9" a="1"/>
  <c r="O18" i="9"/>
  <c r="P18" i="9"/>
  <c r="O15" i="9" a="1"/>
  <c r="O10" i="9"/>
  <c r="K8" i="9"/>
  <c r="J17" i="15"/>
  <c r="C24" i="15" s="1"/>
  <c r="J23" i="15"/>
  <c r="I24" i="15" s="1"/>
  <c r="J18" i="15"/>
  <c r="D24" i="15" s="1"/>
  <c r="J21" i="15"/>
  <c r="G24" i="15" s="1"/>
  <c r="J19" i="15"/>
  <c r="E24" i="15" s="1"/>
  <c r="J22" i="15"/>
  <c r="H24" i="15" s="1"/>
  <c r="Q8" i="9" a="1"/>
  <c r="Q7" i="9" a="1"/>
  <c r="I16" i="15"/>
  <c r="M23" i="15"/>
  <c r="N23" i="15"/>
  <c r="B38" i="15"/>
  <c r="I30" i="5"/>
  <c r="AC87" i="9"/>
  <c r="AR68" i="9"/>
  <c r="O23" i="9"/>
  <c r="P23" i="9"/>
  <c r="O5" i="9"/>
  <c r="I115" i="9"/>
  <c r="L23" i="9"/>
  <c r="K23" i="9"/>
  <c r="P17" i="9"/>
  <c r="O17" i="9"/>
  <c r="Q15" i="9" a="1"/>
  <c r="Q16" i="9" a="1"/>
  <c r="O14" i="9" a="1"/>
  <c r="G16" i="15"/>
  <c r="K23" i="15"/>
  <c r="I25" i="15" s="1"/>
  <c r="B39" i="15"/>
  <c r="F19" i="15"/>
  <c r="B40" i="15"/>
  <c r="D17" i="15"/>
  <c r="C18" i="15" s="1"/>
  <c r="E20" i="15"/>
  <c r="G19" i="15"/>
  <c r="E21" i="15" s="1"/>
  <c r="G20" i="15"/>
  <c r="F21" i="15" s="1"/>
  <c r="D19" i="15"/>
  <c r="F18" i="15"/>
  <c r="B34" i="15"/>
  <c r="I26" i="5"/>
  <c r="I23" i="4"/>
  <c r="D18" i="4"/>
  <c r="I22" i="4" s="1"/>
  <c r="D18" i="5"/>
  <c r="I24" i="4"/>
  <c r="H27" i="4" s="1"/>
  <c r="I21" i="5"/>
  <c r="I28" i="5" l="1"/>
  <c r="D44" i="4"/>
  <c r="D47" i="4" s="1"/>
  <c r="N21" i="9"/>
  <c r="M21" i="9"/>
  <c r="P11" i="9"/>
  <c r="O11" i="9"/>
  <c r="AC68" i="9"/>
  <c r="AB68" i="9"/>
  <c r="AA73" i="9"/>
  <c r="AA88" i="9"/>
  <c r="AA67" i="9"/>
  <c r="P16" i="9"/>
  <c r="O19" i="9"/>
  <c r="P19" i="9"/>
  <c r="N6" i="9"/>
  <c r="M6" i="9"/>
  <c r="AB88" i="9"/>
  <c r="AA71" i="9"/>
  <c r="AC88" i="9"/>
  <c r="P21" i="9"/>
  <c r="O21" i="9"/>
  <c r="M18" i="9"/>
  <c r="N18" i="9"/>
  <c r="Q8" i="9"/>
  <c r="R8" i="9"/>
  <c r="O15" i="9"/>
  <c r="P15" i="9"/>
  <c r="AP71" i="9"/>
  <c r="P8" i="9"/>
  <c r="O8" i="9"/>
  <c r="Q24" i="9"/>
  <c r="R24" i="9"/>
  <c r="M16" i="9"/>
  <c r="N16" i="9"/>
  <c r="AO67" i="9"/>
  <c r="AN67" i="9"/>
  <c r="AN68" i="9"/>
  <c r="AP67" i="9"/>
  <c r="AN66" i="9"/>
  <c r="AP68" i="9"/>
  <c r="AO66" i="9"/>
  <c r="AP66" i="9"/>
  <c r="AO68" i="9"/>
  <c r="Q16" i="9"/>
  <c r="R16" i="9"/>
  <c r="R19" i="9"/>
  <c r="Q19" i="9"/>
  <c r="AN71" i="9"/>
  <c r="AB89" i="9"/>
  <c r="Q15" i="9"/>
  <c r="R15" i="9"/>
  <c r="E17" i="15"/>
  <c r="F17" i="15" s="1"/>
  <c r="AB87" i="9"/>
  <c r="I18" i="15"/>
  <c r="D23" i="15" s="1"/>
  <c r="I21" i="15"/>
  <c r="G23" i="15" s="1"/>
  <c r="I22" i="15"/>
  <c r="H23" i="15" s="1"/>
  <c r="I17" i="15"/>
  <c r="C23" i="15" s="1"/>
  <c r="I19" i="15"/>
  <c r="E23" i="15" s="1"/>
  <c r="I20" i="15"/>
  <c r="F23" i="15" s="1"/>
  <c r="AP73" i="9"/>
  <c r="AN73" i="9"/>
  <c r="AO71" i="9"/>
  <c r="AO73" i="9"/>
  <c r="Q17" i="9"/>
  <c r="R17" i="9"/>
  <c r="M10" i="9"/>
  <c r="N10" i="9"/>
  <c r="P6" i="9"/>
  <c r="O6" i="9"/>
  <c r="N20" i="9"/>
  <c r="M20" i="9"/>
  <c r="AC72" i="9"/>
  <c r="AC73" i="9"/>
  <c r="AC71" i="9"/>
  <c r="AB71" i="9"/>
  <c r="AB72" i="9"/>
  <c r="AB73" i="9"/>
  <c r="AA89" i="9"/>
  <c r="L87" i="9"/>
  <c r="L88" i="9"/>
  <c r="P14" i="9"/>
  <c r="O14" i="9"/>
  <c r="AA72" i="9"/>
  <c r="AP72" i="9"/>
  <c r="Q7" i="9"/>
  <c r="R7" i="9"/>
  <c r="AA87" i="9"/>
  <c r="AC89" i="9"/>
  <c r="Q18" i="9"/>
  <c r="R18" i="9"/>
  <c r="AB66" i="9"/>
  <c r="AC66" i="9"/>
  <c r="AA68" i="9"/>
  <c r="AO72" i="9"/>
  <c r="AN72" i="9"/>
  <c r="AA66" i="9"/>
  <c r="G18" i="15"/>
  <c r="D21" i="15" s="1"/>
  <c r="D20" i="15"/>
  <c r="C19" i="15"/>
  <c r="H26" i="4"/>
  <c r="D36" i="4" s="1"/>
  <c r="I37" i="4" s="1"/>
  <c r="I36" i="4" s="1"/>
  <c r="D19" i="5"/>
  <c r="I27" i="5" s="1"/>
  <c r="H32" i="5" s="1"/>
  <c r="I29" i="5"/>
  <c r="H33" i="5" s="1"/>
  <c r="K84" i="4"/>
  <c r="I44" i="4" l="1"/>
  <c r="I47" i="4" s="1"/>
  <c r="M19" i="15"/>
  <c r="H71" i="9"/>
  <c r="H67" i="9"/>
  <c r="H66" i="9"/>
  <c r="H68" i="9"/>
  <c r="G89" i="9"/>
  <c r="G88" i="9"/>
  <c r="G87" i="9"/>
  <c r="M68" i="9"/>
  <c r="M66" i="9"/>
  <c r="M67" i="9"/>
  <c r="H72" i="9"/>
  <c r="M72" i="9"/>
  <c r="M71" i="9"/>
  <c r="M73" i="9"/>
  <c r="H73" i="9"/>
  <c r="M18" i="15"/>
  <c r="G17" i="15"/>
  <c r="C21" i="15" s="1"/>
  <c r="M21" i="15" s="1"/>
  <c r="C20" i="15"/>
  <c r="M20" i="15" s="1"/>
  <c r="K85" i="4"/>
  <c r="M17" i="15" l="1"/>
  <c r="N17" i="15" s="1"/>
  <c r="N19" i="15" l="1"/>
  <c r="N21" i="15"/>
  <c r="N18" i="15"/>
  <c r="N20" i="15"/>
  <c r="P20" i="15" l="1"/>
  <c r="R35" i="15" s="1"/>
  <c r="P21" i="15"/>
  <c r="R36" i="15" s="1"/>
  <c r="P19" i="15"/>
  <c r="R34" i="15" s="1"/>
  <c r="P18" i="15"/>
  <c r="R33" i="15" s="1"/>
  <c r="P17" i="15"/>
  <c r="R32" i="15" s="1"/>
  <c r="P42" i="15" l="1"/>
  <c r="C42" i="15"/>
  <c r="F42" i="15"/>
  <c r="G42" i="15"/>
  <c r="N42" i="15"/>
  <c r="Q42" i="15"/>
  <c r="M42" i="15"/>
  <c r="L42" i="15"/>
  <c r="J42" i="15"/>
  <c r="I42" i="15"/>
  <c r="O42" i="15"/>
  <c r="D42" i="15"/>
  <c r="H42" i="15"/>
  <c r="K42" i="15"/>
  <c r="E42" i="15"/>
  <c r="G43" i="15" l="1"/>
  <c r="E43" i="15"/>
  <c r="D43" i="15"/>
  <c r="Q43" i="15"/>
  <c r="K43" i="15"/>
  <c r="M43" i="15"/>
  <c r="I43" i="15"/>
  <c r="N43" i="15"/>
  <c r="H43" i="15"/>
  <c r="P43" i="15"/>
  <c r="L43" i="15"/>
  <c r="J43" i="15"/>
  <c r="F43" i="15"/>
  <c r="O43" i="15"/>
  <c r="C43" i="15"/>
</calcChain>
</file>

<file path=xl/comments1.xml><?xml version="1.0" encoding="utf-8"?>
<comments xmlns="http://schemas.openxmlformats.org/spreadsheetml/2006/main">
  <authors>
    <author>Loris Franchi</author>
  </authors>
  <commentList>
    <comment ref="D6" authorId="0" shapeId="0">
      <text>
        <r>
          <rPr>
            <b/>
            <sz val="9"/>
            <color indexed="81"/>
            <rFont val="Tahoma"/>
            <family val="2"/>
          </rPr>
          <t>Loris Franchi:</t>
        </r>
        <r>
          <rPr>
            <sz val="9"/>
            <color indexed="81"/>
            <rFont val="Tahoma"/>
            <family val="2"/>
          </rPr>
          <t xml:space="preserve">
Inputs are from OCDT</t>
        </r>
      </text>
    </comment>
    <comment ref="H7" authorId="0" shapeId="0">
      <text>
        <r>
          <rPr>
            <b/>
            <sz val="9"/>
            <color indexed="81"/>
            <rFont val="Tahoma"/>
            <family val="2"/>
          </rPr>
          <t>Loris Franchi:</t>
        </r>
        <r>
          <rPr>
            <sz val="9"/>
            <color indexed="81"/>
            <rFont val="Tahoma"/>
            <family val="2"/>
          </rPr>
          <t xml:space="preserve">
Defining if the equipment needs a particular thermal control due to demanding operating temperatures</t>
        </r>
      </text>
    </comment>
  </commentList>
</comments>
</file>

<file path=xl/comments2.xml><?xml version="1.0" encoding="utf-8"?>
<comments xmlns="http://schemas.openxmlformats.org/spreadsheetml/2006/main">
  <authors>
    <author>Loris Franchi</author>
    <author>David J. Cloud</author>
  </authors>
  <commentList>
    <comment ref="G8" authorId="0" shapeId="0">
      <text>
        <r>
          <rPr>
            <b/>
            <sz val="9"/>
            <color indexed="81"/>
            <rFont val="Tahoma"/>
            <family val="2"/>
          </rPr>
          <t>Loris Franchi:</t>
        </r>
        <r>
          <rPr>
            <sz val="9"/>
            <color indexed="81"/>
            <rFont val="Tahoma"/>
            <family val="2"/>
          </rPr>
          <t xml:space="preserve">
N.B. If surface finishes are Kapton select Kapton for current specific heat value</t>
        </r>
      </text>
    </comment>
    <comment ref="D16" authorId="1" shapeId="0">
      <text>
        <r>
          <rPr>
            <sz val="8"/>
            <color indexed="81"/>
            <rFont val="Times New Roman"/>
            <family val="1"/>
          </rPr>
          <t>1.  Direct input from Cell C15
2.  Retrieved from "Orbits - Geometry" (circular orbit altitude)
3.  Retrieved from "Orbits - Geometry" (perigee altitude)
4.  Left blank</t>
        </r>
      </text>
    </comment>
    <comment ref="I16" authorId="1" shapeId="0">
      <text>
        <r>
          <rPr>
            <sz val="8"/>
            <color indexed="81"/>
            <rFont val="Times New Roman"/>
            <family val="1"/>
          </rPr>
          <t>1.  Direct input from Cell H15
2.  Set equal to 1418</t>
        </r>
      </text>
    </comment>
    <comment ref="D17" authorId="1" shapeId="0">
      <text>
        <r>
          <rPr>
            <sz val="8"/>
            <color indexed="81"/>
            <rFont val="Times New Roman"/>
            <family val="1"/>
          </rPr>
          <t>Eqn 5-16, p 111</t>
        </r>
      </text>
    </comment>
    <comment ref="I17" authorId="1" shapeId="0">
      <text>
        <r>
          <rPr>
            <sz val="8"/>
            <color indexed="81"/>
            <rFont val="Times New Roman"/>
            <family val="1"/>
          </rPr>
          <t>1.  Direct input from Cell H16
2.  Set equal to 0.34</t>
        </r>
      </text>
    </comment>
    <comment ref="D18" authorId="1" shapeId="0">
      <text>
        <r>
          <rPr>
            <sz val="8"/>
            <color indexed="81"/>
            <rFont val="Times New Roman"/>
            <family val="1"/>
          </rPr>
          <t>Eqn 11-27, p 446</t>
        </r>
      </text>
    </comment>
    <comment ref="I18" authorId="1" shapeId="0">
      <text>
        <r>
          <rPr>
            <sz val="8"/>
            <color indexed="81"/>
            <rFont val="Times New Roman"/>
            <family val="1"/>
          </rPr>
          <t>1.  Direct input from Cell H17
2.  Set equal to 258</t>
        </r>
      </text>
    </comment>
    <comment ref="I19" authorId="1" shapeId="0">
      <text>
        <r>
          <rPr>
            <sz val="8"/>
            <color indexed="81"/>
            <rFont val="Times New Roman"/>
            <family val="1"/>
          </rPr>
          <t>1.  Direct input from Cell H18
2.  Set equal to 216</t>
        </r>
      </text>
    </comment>
    <comment ref="D20" authorId="1" shapeId="0">
      <text>
        <r>
          <rPr>
            <sz val="8"/>
            <color indexed="81"/>
            <rFont val="Times New Roman"/>
            <family val="1"/>
          </rPr>
          <t>1.  Direct input from Cell C19
2.  Retrieved from "SC Bus - Preliminary Sizing"
3.  Left blank</t>
        </r>
      </text>
    </comment>
    <comment ref="D21" authorId="1" shapeId="0">
      <text>
        <r>
          <rPr>
            <sz val="8"/>
            <color indexed="81"/>
            <rFont val="Times New Roman"/>
            <family val="1"/>
          </rPr>
          <t>Calculated from available surface area (Cell D19)</t>
        </r>
      </text>
    </comment>
    <comment ref="I21" authorId="1" shapeId="0">
      <text>
        <r>
          <rPr>
            <sz val="8"/>
            <color indexed="81"/>
            <rFont val="Times New Roman"/>
            <family val="1"/>
          </rPr>
          <t>Eqn 11-21 &amp; 24, p 445</t>
        </r>
      </text>
    </comment>
    <comment ref="I22" authorId="1" shapeId="0">
      <text>
        <r>
          <rPr>
            <sz val="8"/>
            <color indexed="81"/>
            <rFont val="Times New Roman"/>
            <family val="1"/>
          </rPr>
          <t>Eqn 11-27, p 446</t>
        </r>
      </text>
    </comment>
    <comment ref="I23" authorId="1" shapeId="0">
      <text>
        <r>
          <rPr>
            <sz val="8"/>
            <color indexed="81"/>
            <rFont val="Times New Roman"/>
            <family val="1"/>
          </rPr>
          <t>Eqn 11-26, p 446</t>
        </r>
      </text>
    </comment>
    <comment ref="D24" authorId="1" shapeId="0">
      <text>
        <r>
          <rPr>
            <sz val="8"/>
            <color indexed="81"/>
            <rFont val="Times New Roman"/>
            <family val="1"/>
          </rPr>
          <t>1.  Direct input from Cell C22
2.  Selection</t>
        </r>
      </text>
    </comment>
    <comment ref="I24" authorId="1" shapeId="0">
      <text>
        <r>
          <rPr>
            <sz val="8"/>
            <color indexed="81"/>
            <rFont val="Times New Roman"/>
            <family val="1"/>
          </rPr>
          <t>Eqn 11-26, p 446</t>
        </r>
      </text>
    </comment>
    <comment ref="D25" authorId="1" shapeId="0">
      <text>
        <r>
          <rPr>
            <sz val="8"/>
            <color indexed="81"/>
            <rFont val="Times New Roman"/>
            <family val="1"/>
          </rPr>
          <t>1.  Direct input from Cell C24
2.  Selection</t>
        </r>
      </text>
    </comment>
    <comment ref="H26" authorId="1" shapeId="0">
      <text>
        <r>
          <rPr>
            <sz val="8"/>
            <color indexed="81"/>
            <rFont val="Times New Roman"/>
            <family val="1"/>
          </rPr>
          <t>Eqn 11-34, p 447</t>
        </r>
      </text>
    </comment>
    <comment ref="D27" authorId="1" shapeId="0">
      <text>
        <r>
          <rPr>
            <sz val="8"/>
            <color indexed="81"/>
            <rFont val="Times New Roman"/>
            <family val="1"/>
          </rPr>
          <t>1.  Direct input from Cell C26
2.  Retrieved from "Power - Solar Arrays" 
     (max of sunlight &amp; eclipse power)
3.  Left blank</t>
        </r>
      </text>
    </comment>
    <comment ref="H27" authorId="1" shapeId="0">
      <text>
        <r>
          <rPr>
            <sz val="8"/>
            <color indexed="81"/>
            <rFont val="Times New Roman"/>
            <family val="1"/>
          </rPr>
          <t>Eqn 11-35, p 447</t>
        </r>
      </text>
    </comment>
    <comment ref="D28" authorId="1" shapeId="0">
      <text>
        <r>
          <rPr>
            <sz val="8"/>
            <color indexed="81"/>
            <rFont val="Times New Roman"/>
            <family val="1"/>
          </rPr>
          <t>1.  Direct input from Cell C27
2.  Retrieved from "Power - Solar Arrays" 
     (min of sunlight &amp; eclipse power and less 
     than or equal to max power dissipation)
3.  Left blank</t>
        </r>
      </text>
    </comment>
    <comment ref="H28" authorId="0" shapeId="0">
      <text>
        <r>
          <rPr>
            <b/>
            <sz val="9"/>
            <color indexed="81"/>
            <rFont val="Tahoma"/>
            <family val="2"/>
          </rPr>
          <t>Loris Franchi:</t>
        </r>
        <r>
          <rPr>
            <sz val="9"/>
            <color indexed="81"/>
            <rFont val="Tahoma"/>
            <family val="2"/>
          </rPr>
          <t xml:space="preserve">
Assumption: Starts from 25 deg of temperature after sunlight</t>
        </r>
      </text>
    </comment>
    <comment ref="D30" authorId="1" shapeId="0">
      <text>
        <r>
          <rPr>
            <sz val="8"/>
            <color indexed="81"/>
            <rFont val="Times New Roman"/>
            <family val="1"/>
          </rPr>
          <t>1.  Direct input from Cell C29
2.  Set equal to 35
3. From thermal budget if data avaiable</t>
        </r>
      </text>
    </comment>
    <comment ref="D31" authorId="1" shapeId="0">
      <text>
        <r>
          <rPr>
            <sz val="8"/>
            <color indexed="81"/>
            <rFont val="Times New Roman"/>
            <family val="1"/>
          </rPr>
          <t>1.  Direct input from Cell C30 (unless input is 
     greater than upper temperature limit)
2.  Set equal to 5
3. From thermal budget if data avaiable</t>
        </r>
      </text>
    </comment>
    <comment ref="D36" authorId="1" shapeId="0">
      <text>
        <r>
          <rPr>
            <sz val="8"/>
            <color indexed="81"/>
            <rFont val="Times New Roman"/>
            <family val="1"/>
          </rPr>
          <t>1.  Set to "N/A" if max equilibrium temp less 
     than upper temp limit
2.  Calculated using energy balance and 
     information in Rows 4-18 to set max 
     equilibrium temp equal to upper temp limit</t>
        </r>
      </text>
    </comment>
    <comment ref="I36" authorId="1" shapeId="0">
      <text>
        <r>
          <rPr>
            <sz val="8"/>
            <color indexed="81"/>
            <rFont val="Times New Roman"/>
            <family val="1"/>
          </rPr>
          <t>1.  Set to "N/A" if max equilibrium temp less 
     than upper temp limit
2.  Calculated using energy balance and new
     emissivity value to set max equilibrium temp 
     equal to upper temp limit</t>
        </r>
      </text>
    </comment>
    <comment ref="I37" authorId="1" shapeId="0">
      <text>
        <r>
          <rPr>
            <sz val="8"/>
            <color indexed="81"/>
            <rFont val="Times New Roman"/>
            <family val="1"/>
          </rPr>
          <t>1.  Set to "N/A" if max equilibrium temp less 
     than upper temp limit
2.  Calculated using energy balance and 
     information in Rows 4-18 to set max 
     equilibrium temp equal to upper temp limit
     (but limited to a max value of 0.925)</t>
        </r>
      </text>
    </comment>
    <comment ref="D42" authorId="1" shapeId="0">
      <text>
        <r>
          <rPr>
            <sz val="8"/>
            <color indexed="81"/>
            <rFont val="Times New Roman"/>
            <family val="1"/>
          </rPr>
          <t>Eqn 11-23, p 445 
(using max power dissipation and assuming no external heat inputs)</t>
        </r>
      </text>
    </comment>
    <comment ref="I42" authorId="1" shapeId="0">
      <text>
        <r>
          <rPr>
            <sz val="8"/>
            <color indexed="81"/>
            <rFont val="Times New Roman"/>
            <family val="1"/>
          </rPr>
          <t>1.  Direct input from Cell H41
2.  Calculated using Eqn 5-4b, p 107</t>
        </r>
      </text>
    </comment>
    <comment ref="D43" authorId="1" shapeId="0">
      <text>
        <r>
          <rPr>
            <sz val="8"/>
            <color indexed="81"/>
            <rFont val="Times New Roman"/>
            <family val="1"/>
          </rPr>
          <t>Eqn 11-23, p 445
(using min power dissipation and assuming no external heat inputs)</t>
        </r>
      </text>
    </comment>
    <comment ref="I43" authorId="1" shapeId="0">
      <text>
        <r>
          <rPr>
            <sz val="8"/>
            <color indexed="81"/>
            <rFont val="Times New Roman"/>
            <family val="1"/>
          </rPr>
          <t>1.  Direct input from Cell H42
2.  Max eclipse time divided by orbit period</t>
        </r>
      </text>
    </comment>
    <comment ref="D44" authorId="1" shapeId="0">
      <text>
        <r>
          <rPr>
            <sz val="8"/>
            <color indexed="81"/>
            <rFont val="Times New Roman"/>
            <family val="1"/>
          </rPr>
          <t>1.  Set to zero if min radiator temp is 
     greater than lower temp limit
2.  Calculated to balance heat in and heat 
     out at lower temp limit</t>
        </r>
      </text>
    </comment>
    <comment ref="I44" authorId="1" shapeId="0">
      <text>
        <r>
          <rPr>
            <sz val="8"/>
            <color indexed="81"/>
            <rFont val="Times New Roman"/>
            <family val="1"/>
          </rPr>
          <t>Calculated based on duty cycle (Cell I42)</t>
        </r>
      </text>
    </comment>
  </commentList>
</comments>
</file>

<file path=xl/comments3.xml><?xml version="1.0" encoding="utf-8"?>
<comments xmlns="http://schemas.openxmlformats.org/spreadsheetml/2006/main">
  <authors>
    <author>David J. Cloud</author>
  </authors>
  <commentList>
    <comment ref="D17" authorId="0" shapeId="0">
      <text>
        <r>
          <rPr>
            <sz val="8"/>
            <color indexed="81"/>
            <rFont val="Times New Roman"/>
            <family val="1"/>
          </rPr>
          <t>1.  Direct input from Cell C17
2.  Retrieved from "Thermal Control - Spherical"
3.  Left blank</t>
        </r>
      </text>
    </comment>
    <comment ref="I17" authorId="0" shapeId="0">
      <text>
        <r>
          <rPr>
            <sz val="8"/>
            <color indexed="81"/>
            <rFont val="Times New Roman"/>
            <family val="1"/>
          </rPr>
          <t>1.  Direct input from Cell H17
2.  Retrieved from "Thermal Control - Spherical"</t>
        </r>
      </text>
    </comment>
    <comment ref="D18" authorId="0" shapeId="0">
      <text>
        <r>
          <rPr>
            <sz val="8"/>
            <color indexed="81"/>
            <rFont val="Times New Roman"/>
            <family val="1"/>
          </rPr>
          <t>Eqn 5-16, p 111</t>
        </r>
      </text>
    </comment>
    <comment ref="I18" authorId="0" shapeId="0">
      <text>
        <r>
          <rPr>
            <sz val="8"/>
            <color indexed="81"/>
            <rFont val="Times New Roman"/>
            <family val="1"/>
          </rPr>
          <t>1.  Direct input from Cell H18
2.  Retrieved from "Power - Solar Arrays"</t>
        </r>
      </text>
    </comment>
    <comment ref="D19" authorId="0" shapeId="0">
      <text>
        <r>
          <rPr>
            <sz val="8"/>
            <color indexed="81"/>
            <rFont val="Times New Roman"/>
            <family val="1"/>
          </rPr>
          <t>Eqn 11-27, p 446</t>
        </r>
      </text>
    </comment>
    <comment ref="I19" authorId="0" shapeId="0">
      <text>
        <r>
          <rPr>
            <sz val="8"/>
            <color indexed="81"/>
            <rFont val="Times New Roman"/>
            <family val="1"/>
          </rPr>
          <t>1.  Direct input from Cell H19
2.  Retrieved from "Thermal Control - Spherical"</t>
        </r>
      </text>
    </comment>
    <comment ref="D20" authorId="0" shapeId="0">
      <text>
        <r>
          <rPr>
            <sz val="8"/>
            <color indexed="81"/>
            <rFont val="Times New Roman"/>
            <family val="1"/>
          </rPr>
          <t>1.  Direct input from Cell C20
2.  Retrieved from "Orbits - Maneuvers"
3.  Left blank
(Note:  This value is displayed to 3 decimal places so you can see durations in the days and weeks, not to suggest that you should enter values to this precision.)</t>
        </r>
      </text>
    </comment>
    <comment ref="I20" authorId="0" shapeId="0">
      <text>
        <r>
          <rPr>
            <sz val="8"/>
            <color indexed="81"/>
            <rFont val="Times New Roman"/>
            <family val="1"/>
          </rPr>
          <t>1.  Direct input from Cell H20
2.  Retrieved from "Thermal Control - Spherical"</t>
        </r>
      </text>
    </comment>
    <comment ref="I21" authorId="0" shapeId="0">
      <text>
        <r>
          <rPr>
            <sz val="8"/>
            <color indexed="81"/>
            <rFont val="Times New Roman"/>
            <family val="1"/>
          </rPr>
          <t>1.  Direct input from Cell H21
2.  Retrieved from "Thermal Control - Spherical"</t>
        </r>
      </text>
    </comment>
    <comment ref="D23" authorId="0" shapeId="0">
      <text>
        <r>
          <rPr>
            <sz val="8"/>
            <color indexed="81"/>
            <rFont val="Times New Roman"/>
            <family val="1"/>
          </rPr>
          <t>1.  Direct input from Cell C23
2.  Retrieved from "Power - Solar Arrays"
3.  Retrieved from "SC Bus - Preliminary Sizing"
4.  Left blank</t>
        </r>
      </text>
    </comment>
    <comment ref="I23" authorId="0" shapeId="0">
      <text>
        <r>
          <rPr>
            <sz val="8"/>
            <color indexed="81"/>
            <rFont val="Times New Roman"/>
            <family val="1"/>
          </rPr>
          <t>Surface area times cos(Sun incidence angle)</t>
        </r>
      </text>
    </comment>
    <comment ref="D24" authorId="0" shapeId="0">
      <text>
        <r>
          <rPr>
            <sz val="8"/>
            <color indexed="81"/>
            <rFont val="Times New Roman"/>
            <family val="1"/>
          </rPr>
          <t>1.  Direct input from Cell C24
2.  Retrieved from "Power - Solar Arrays"</t>
        </r>
      </text>
    </comment>
    <comment ref="D25" authorId="0" shapeId="0">
      <text>
        <r>
          <rPr>
            <sz val="8"/>
            <color indexed="81"/>
            <rFont val="Times New Roman"/>
            <family val="1"/>
          </rPr>
          <t>1.  Direct input from Cell C25
2.  Retrieved from "Power - Solar Arrays"</t>
        </r>
      </text>
    </comment>
    <comment ref="D26" authorId="0" shapeId="0">
      <text>
        <r>
          <rPr>
            <sz val="8"/>
            <color indexed="81"/>
            <rFont val="Times New Roman"/>
            <family val="1"/>
          </rPr>
          <t>1.  Direct input from Cell C26
2.  Retrieved from "Power - Solar Arrays"</t>
        </r>
      </text>
    </comment>
    <comment ref="I26" authorId="0" shapeId="0">
      <text>
        <r>
          <rPr>
            <sz val="8"/>
            <color indexed="81"/>
            <rFont val="Times New Roman"/>
            <family val="1"/>
          </rPr>
          <t>Eqn 11-21 &amp; 24, p 445</t>
        </r>
      </text>
    </comment>
    <comment ref="D27" authorId="0" shapeId="0">
      <text>
        <r>
          <rPr>
            <sz val="8"/>
            <color indexed="81"/>
            <rFont val="Times New Roman"/>
            <family val="1"/>
          </rPr>
          <t>Eqn 11-7, p 417</t>
        </r>
      </text>
    </comment>
    <comment ref="I27" authorId="0" shapeId="0">
      <text>
        <r>
          <rPr>
            <sz val="8"/>
            <color indexed="81"/>
            <rFont val="Times New Roman"/>
            <family val="1"/>
          </rPr>
          <t>Eqn 11-27, p 446</t>
        </r>
      </text>
    </comment>
    <comment ref="I28" authorId="0" shapeId="0">
      <text>
        <r>
          <rPr>
            <sz val="8"/>
            <color indexed="81"/>
            <rFont val="Times New Roman"/>
            <family val="1"/>
          </rPr>
          <t>Eqn 11-26, p 446</t>
        </r>
      </text>
    </comment>
    <comment ref="I29" authorId="0" shapeId="0">
      <text>
        <r>
          <rPr>
            <sz val="8"/>
            <color indexed="81"/>
            <rFont val="Times New Roman"/>
            <family val="1"/>
          </rPr>
          <t>Eqn 11-26, p 446</t>
        </r>
      </text>
    </comment>
    <comment ref="D30" authorId="0" shapeId="0">
      <text>
        <r>
          <rPr>
            <sz val="8"/>
            <color indexed="81"/>
            <rFont val="Times New Roman"/>
            <family val="1"/>
          </rPr>
          <t>1.  Direct input from Cell C30
2.  Set equal to 0.805</t>
        </r>
      </text>
    </comment>
    <comment ref="I30" authorId="0" shapeId="0">
      <text>
        <r>
          <rPr>
            <sz val="8"/>
            <color indexed="81"/>
            <rFont val="Times New Roman"/>
            <family val="1"/>
          </rPr>
          <t>Table 11-34, p 412
Eqn 11-7 &amp; 8, p 417</t>
        </r>
      </text>
    </comment>
    <comment ref="D31" authorId="0" shapeId="0">
      <text>
        <r>
          <rPr>
            <sz val="8"/>
            <color indexed="81"/>
            <rFont val="Times New Roman"/>
            <family val="1"/>
          </rPr>
          <t>1.  Direct input from Cell C31
2.  Retrieved from "Thermal Control - Spherical"</t>
        </r>
      </text>
    </comment>
    <comment ref="D32" authorId="0" shapeId="0">
      <text>
        <r>
          <rPr>
            <sz val="8"/>
            <color indexed="81"/>
            <rFont val="Times New Roman"/>
            <family val="1"/>
          </rPr>
          <t>1.  Direct input from Cell C32
2.  Set equal to 0.825</t>
        </r>
      </text>
    </comment>
    <comment ref="H32" authorId="0" shapeId="0">
      <text>
        <r>
          <rPr>
            <sz val="8"/>
            <color indexed="81"/>
            <rFont val="Times New Roman"/>
            <family val="1"/>
          </rPr>
          <t>Eqn 11-32, p 447</t>
        </r>
      </text>
    </comment>
    <comment ref="D33" authorId="0" shapeId="0">
      <text>
        <r>
          <rPr>
            <sz val="8"/>
            <color indexed="81"/>
            <rFont val="Times New Roman"/>
            <family val="1"/>
          </rPr>
          <t>1.  Direct input from Cell C33
2.  Retrieved from "Thermal Control - Spherical"</t>
        </r>
      </text>
    </comment>
    <comment ref="H33" authorId="0" shapeId="0">
      <text>
        <r>
          <rPr>
            <sz val="8"/>
            <color indexed="81"/>
            <rFont val="Times New Roman"/>
            <family val="1"/>
          </rPr>
          <t>Eqn 11-32, p 447</t>
        </r>
      </text>
    </comment>
  </commentList>
</comments>
</file>

<file path=xl/comments4.xml><?xml version="1.0" encoding="utf-8"?>
<comments xmlns="http://schemas.openxmlformats.org/spreadsheetml/2006/main">
  <authors>
    <author>Loris Franchi</author>
  </authors>
  <commentList>
    <comment ref="D6" authorId="0" shapeId="0">
      <text>
        <r>
          <rPr>
            <b/>
            <sz val="9"/>
            <color indexed="81"/>
            <rFont val="Tahoma"/>
            <family val="2"/>
          </rPr>
          <t>Loris Franchi:</t>
        </r>
        <r>
          <rPr>
            <sz val="9"/>
            <color indexed="81"/>
            <rFont val="Tahoma"/>
            <family val="2"/>
          </rPr>
          <t xml:space="preserve">
Marco was with wrong Sheet name</t>
        </r>
      </text>
    </comment>
  </commentList>
</comments>
</file>

<file path=xl/sharedStrings.xml><?xml version="1.0" encoding="utf-8"?>
<sst xmlns="http://schemas.openxmlformats.org/spreadsheetml/2006/main" count="744" uniqueCount="533">
  <si>
    <t>Orbit Altitude (circular orbit)</t>
  </si>
  <si>
    <t>km</t>
  </si>
  <si>
    <t>Perigee Altitude (elliptical orbit)</t>
  </si>
  <si>
    <t>Power</t>
  </si>
  <si>
    <t>Spacecraft Power Consumption (sunlight)</t>
  </si>
  <si>
    <t>Spacecraft Power Consumption (eclipse)</t>
  </si>
  <si>
    <t>Mission Duration</t>
  </si>
  <si>
    <t>Solar Array Area</t>
  </si>
  <si>
    <t>Ideal Solar Cell Efficiency</t>
  </si>
  <si>
    <t>Inherent Degradation</t>
  </si>
  <si>
    <t>Solar Cell Degradation per year</t>
  </si>
  <si>
    <t>Worst-case Sun Incidence Angle</t>
  </si>
  <si>
    <t xml:space="preserve"> </t>
  </si>
  <si>
    <t>Orbit altitude</t>
  </si>
  <si>
    <t>Solar flux</t>
  </si>
  <si>
    <t>W/m^2</t>
  </si>
  <si>
    <t>Earth angular radius</t>
  </si>
  <si>
    <t>deg</t>
  </si>
  <si>
    <t>Albedo</t>
  </si>
  <si>
    <t>Albedo reflection factor</t>
  </si>
  <si>
    <t>Maximum Earth IR emission</t>
  </si>
  <si>
    <t>Minimum Earth IR emission</t>
  </si>
  <si>
    <t>Available surface area</t>
  </si>
  <si>
    <t>m^2</t>
  </si>
  <si>
    <t>Diameter of equivalent sphere</t>
  </si>
  <si>
    <t>m</t>
  </si>
  <si>
    <t>Solar energy absorbed</t>
  </si>
  <si>
    <t>W</t>
  </si>
  <si>
    <t>Albedo energy absorbed</t>
  </si>
  <si>
    <t>Absorptivity of spacecraft surface</t>
  </si>
  <si>
    <t>Maximum Earth IR energy absorbed</t>
  </si>
  <si>
    <t>Emissivity of spacecraft surface</t>
  </si>
  <si>
    <t>Minimum Earth IR energy absorbed</t>
  </si>
  <si>
    <t>Maximum power dissipation on spacecraft</t>
  </si>
  <si>
    <t>Maximum equilibrium temperature</t>
  </si>
  <si>
    <t>deg, C</t>
  </si>
  <si>
    <t>Minimum power dissipation on spacecraft</t>
  </si>
  <si>
    <t>Minimum equilibrium temperature</t>
  </si>
  <si>
    <t>Upper temperature limit for spacecraft</t>
  </si>
  <si>
    <t>Lower temperature limit for spacecraft</t>
  </si>
  <si>
    <t xml:space="preserve">     Additional surface area</t>
  </si>
  <si>
    <t>New absorptivity of spacecraft surface</t>
  </si>
  <si>
    <t>New emissivity of spacecraft surface</t>
  </si>
  <si>
    <t xml:space="preserve">     Radiator area to accommodate s/c power dissipation</t>
  </si>
  <si>
    <t>Maximum eclipse time</t>
  </si>
  <si>
    <t>min</t>
  </si>
  <si>
    <t xml:space="preserve">     Minimum temperature for given radiator area</t>
  </si>
  <si>
    <t>Duty cycle (per orbit period)</t>
  </si>
  <si>
    <t xml:space="preserve">     Required heater power (during eclipse)</t>
  </si>
  <si>
    <t>Average heater power</t>
  </si>
  <si>
    <t>(All information on this sheet is contained in the block from Cell A1 to Cell I20)</t>
  </si>
  <si>
    <t>Altitude</t>
  </si>
  <si>
    <t>Worst-case Sun incidence angle</t>
  </si>
  <si>
    <t>Mission duration</t>
  </si>
  <si>
    <t>yrs</t>
  </si>
  <si>
    <t>Surface area of solar array</t>
  </si>
  <si>
    <t>Projected surface area</t>
  </si>
  <si>
    <t>Ideal solar cell efficiency</t>
  </si>
  <si>
    <t>Inherent degradation</t>
  </si>
  <si>
    <t>Solar cell degradation per year</t>
  </si>
  <si>
    <t>Lifetime degradation</t>
  </si>
  <si>
    <t>Absorptivity - top of solar array</t>
  </si>
  <si>
    <t>EOL power output from solar array</t>
  </si>
  <si>
    <t>Absorptivity - bottom of solar array</t>
  </si>
  <si>
    <t>Emissivity - top of solar array</t>
  </si>
  <si>
    <t>Emissivity - bottom of solar array</t>
  </si>
  <si>
    <t>Propulsion</t>
  </si>
  <si>
    <t>Communications</t>
  </si>
  <si>
    <t>Configuration</t>
  </si>
  <si>
    <t>Payload</t>
  </si>
  <si>
    <t>Speed of Light</t>
  </si>
  <si>
    <t>m/s</t>
  </si>
  <si>
    <t>Planck's Constant</t>
  </si>
  <si>
    <t>W-s^2</t>
  </si>
  <si>
    <t>Boltzmann's Constant</t>
  </si>
  <si>
    <t>W-s/K</t>
  </si>
  <si>
    <t>Density</t>
  </si>
  <si>
    <t>Curve Fit Coefficients</t>
  </si>
  <si>
    <t>Stefan-Boltzmann Constant</t>
  </si>
  <si>
    <t>W/m^2/K^4</t>
  </si>
  <si>
    <t>Scale Height</t>
  </si>
  <si>
    <t>Min</t>
  </si>
  <si>
    <t>Mean</t>
  </si>
  <si>
    <t>Max</t>
  </si>
  <si>
    <t>km^3/sec^2</t>
  </si>
  <si>
    <t>tesla-m^2</t>
  </si>
  <si>
    <t>Rain Temperature</t>
  </si>
  <si>
    <t>K</t>
  </si>
  <si>
    <t>Conversion from inches to meters</t>
  </si>
  <si>
    <t>Percentage of</t>
  </si>
  <si>
    <t>S/C dry mass</t>
  </si>
  <si>
    <t>TT&amp;C</t>
  </si>
  <si>
    <t>Structure</t>
  </si>
  <si>
    <t>ADCS</t>
  </si>
  <si>
    <t>Thermal</t>
  </si>
  <si>
    <t>Percent of Operating Power</t>
  </si>
  <si>
    <t>Attitude Control</t>
  </si>
  <si>
    <t>C&amp;DH</t>
  </si>
  <si>
    <t>% between</t>
  </si>
  <si>
    <t>Min Mass</t>
  </si>
  <si>
    <t>Max Mass</t>
  </si>
  <si>
    <t>Min Power</t>
  </si>
  <si>
    <t>Max Power</t>
  </si>
  <si>
    <t>min &amp; max</t>
  </si>
  <si>
    <t>Mass (kg)</t>
  </si>
  <si>
    <t>Power (W)</t>
  </si>
  <si>
    <t>Earth Sensor</t>
  </si>
  <si>
    <t>Sun Sensor</t>
  </si>
  <si>
    <t>Star Sensor</t>
  </si>
  <si>
    <t>Magnetometer</t>
  </si>
  <si>
    <t>Gyroscope</t>
  </si>
  <si>
    <t>Output</t>
  </si>
  <si>
    <t>Input</t>
  </si>
  <si>
    <t>Curve Fit</t>
  </si>
  <si>
    <t>DT D</t>
  </si>
  <si>
    <t>(DT D)^-1</t>
  </si>
  <si>
    <t>DT y</t>
  </si>
  <si>
    <t>Coefficients</t>
  </si>
  <si>
    <t>Mass</t>
  </si>
  <si>
    <t>SSPA</t>
  </si>
  <si>
    <t>TWTA</t>
  </si>
  <si>
    <t>Nickel-Hydrogen</t>
  </si>
  <si>
    <t xml:space="preserve">DOD = </t>
  </si>
  <si>
    <t>log10(cycles)</t>
  </si>
  <si>
    <t>+</t>
  </si>
  <si>
    <t>Nickel-Cadmium</t>
  </si>
  <si>
    <t>For cylinder variable below 300</t>
  </si>
  <si>
    <t>For cylinder variable at or above 300</t>
  </si>
  <si>
    <t>Cylinder</t>
  </si>
  <si>
    <t>Buckling</t>
  </si>
  <si>
    <t>Variable</t>
  </si>
  <si>
    <t>Coeff</t>
  </si>
  <si>
    <t>Fiscal</t>
  </si>
  <si>
    <t>Inflation</t>
  </si>
  <si>
    <t>Year</t>
  </si>
  <si>
    <t>Factor to</t>
  </si>
  <si>
    <t>Base Year 2000</t>
  </si>
  <si>
    <t>Fraction of</t>
  </si>
  <si>
    <t>Non-Recurring</t>
  </si>
  <si>
    <t>Recurring</t>
  </si>
  <si>
    <t>S/C Bus Cost</t>
  </si>
  <si>
    <t>Percentage</t>
  </si>
  <si>
    <t>Spacecraft Bus</t>
  </si>
  <si>
    <t>Integration Assembly &amp; Test</t>
  </si>
  <si>
    <t>Program Level</t>
  </si>
  <si>
    <t>Ground Support Equipment</t>
  </si>
  <si>
    <t>Launch &amp; Orbital Ops Support</t>
  </si>
  <si>
    <t>New design with advanced development</t>
  </si>
  <si>
    <t>Nominal new design</t>
  </si>
  <si>
    <t>Major modification to existing design</t>
  </si>
  <si>
    <t>Moderate modifications to existing design</t>
  </si>
  <si>
    <t>Basically existing design</t>
  </si>
  <si>
    <t>m2</t>
  </si>
  <si>
    <t>Expected Spacecraft Body Area</t>
  </si>
  <si>
    <t>Batteries</t>
  </si>
  <si>
    <t>Electronics</t>
  </si>
  <si>
    <t>Propellant</t>
  </si>
  <si>
    <t>Attitude Control System</t>
  </si>
  <si>
    <t>Surface Finishes</t>
  </si>
  <si>
    <t>Abs</t>
  </si>
  <si>
    <t>Emiss</t>
  </si>
  <si>
    <t>Spacecraft surface finishes</t>
  </si>
  <si>
    <t>other</t>
  </si>
  <si>
    <t>Heater requirements during eclipse</t>
  </si>
  <si>
    <t>Possible changes to reduce maximum equilibrium temperature to specified upper limit</t>
  </si>
  <si>
    <t xml:space="preserve">        (All information on this sheet is contained in the block from Cell A1 to Cell AA44)</t>
  </si>
  <si>
    <t>Outputs to OCDT</t>
  </si>
  <si>
    <t>Heater power</t>
  </si>
  <si>
    <t>[P]</t>
  </si>
  <si>
    <t>Mean heater power</t>
  </si>
  <si>
    <t>[P_Mean]</t>
  </si>
  <si>
    <t>Calculations</t>
  </si>
  <si>
    <t>Inputs from OCDT</t>
  </si>
  <si>
    <t>[Area]</t>
  </si>
  <si>
    <t>[Alt]</t>
  </si>
  <si>
    <t>[alt]</t>
  </si>
  <si>
    <t>[dur]</t>
  </si>
  <si>
    <t>Option:</t>
  </si>
  <si>
    <t>Default</t>
  </si>
  <si>
    <t>%</t>
  </si>
  <si>
    <t>[Eff]</t>
  </si>
  <si>
    <t>[P_mean]</t>
  </si>
  <si>
    <t>[degrad]</t>
  </si>
  <si>
    <t>[degr_solar_cell]</t>
  </si>
  <si>
    <t>%/year</t>
  </si>
  <si>
    <t>Single Layer Emittance</t>
  </si>
  <si>
    <t>Max number Of Layers</t>
  </si>
  <si>
    <t>Min Number Of Layers</t>
  </si>
  <si>
    <t>Spacecraft Mass</t>
  </si>
  <si>
    <t>[m]</t>
  </si>
  <si>
    <t>Kg</t>
  </si>
  <si>
    <t>Planet angular radius</t>
  </si>
  <si>
    <t>k</t>
  </si>
  <si>
    <t>C</t>
  </si>
  <si>
    <t>Glass</t>
  </si>
  <si>
    <t>Silicon</t>
  </si>
  <si>
    <t>Steel</t>
  </si>
  <si>
    <t>Lead</t>
  </si>
  <si>
    <t>Brass</t>
  </si>
  <si>
    <t>Polypropylene</t>
  </si>
  <si>
    <t>-</t>
  </si>
  <si>
    <t>Kapton</t>
  </si>
  <si>
    <t>FR4</t>
  </si>
  <si>
    <t>Eps</t>
  </si>
  <si>
    <t>Alpha</t>
  </si>
  <si>
    <t>Copper C10100</t>
  </si>
  <si>
    <t>Titanium Alloy</t>
  </si>
  <si>
    <t>Structure Material</t>
  </si>
  <si>
    <t xml:space="preserve">Structure Material </t>
  </si>
  <si>
    <t>Earth</t>
  </si>
  <si>
    <t>Moon</t>
  </si>
  <si>
    <t>Thermal Analysis Calculations</t>
  </si>
  <si>
    <t>[W/mK]</t>
  </si>
  <si>
    <t>[J/kgK]</t>
  </si>
  <si>
    <t>None</t>
  </si>
  <si>
    <t>Aggiunto 3/4 ad Tmin Equilibrium</t>
  </si>
  <si>
    <t>Eclipse Dynamics</t>
  </si>
  <si>
    <t>Dynamics and Trade Control Buttons</t>
  </si>
  <si>
    <t>Thermal Control</t>
  </si>
  <si>
    <t>Power Mng</t>
  </si>
  <si>
    <t>Momentum Mng</t>
  </si>
  <si>
    <t>Other</t>
  </si>
  <si>
    <t>Coordinate conversion</t>
  </si>
  <si>
    <t>Time Mng and conversion</t>
  </si>
  <si>
    <t>Matrix Math</t>
  </si>
  <si>
    <t>Trascendental Math</t>
  </si>
  <si>
    <t>Basic Math</t>
  </si>
  <si>
    <t>Utilites</t>
  </si>
  <si>
    <t>Fault Correction</t>
  </si>
  <si>
    <t>Fault identification</t>
  </si>
  <si>
    <t>Monitor</t>
  </si>
  <si>
    <t>FDIR</t>
  </si>
  <si>
    <t>CMG control</t>
  </si>
  <si>
    <t>Reaction wheel control</t>
  </si>
  <si>
    <t>Thruster Control</t>
  </si>
  <si>
    <t>Magnetic control</t>
  </si>
  <si>
    <t>Actuator</t>
  </si>
  <si>
    <t>Orbit Propagator (Complex Envirolment)</t>
  </si>
  <si>
    <t>Orbit Propagator (Linear)</t>
  </si>
  <si>
    <t>Complex Ephemerisis</t>
  </si>
  <si>
    <t>Ephemerisis Propagator</t>
  </si>
  <si>
    <t>Process Control</t>
  </si>
  <si>
    <t>Error Determination</t>
  </si>
  <si>
    <t>Kalman Filter</t>
  </si>
  <si>
    <t>Kintetik integration</t>
  </si>
  <si>
    <t>AOCS</t>
  </si>
  <si>
    <t>GPS(Pseudo Range)</t>
  </si>
  <si>
    <t>GPS(Position/velocity)</t>
  </si>
  <si>
    <t>Star tracker output quaternion</t>
  </si>
  <si>
    <t xml:space="preserve">Heritage Cost Factors  </t>
  </si>
  <si>
    <t>Star Tracker (no id)</t>
  </si>
  <si>
    <t>Magnetormeter</t>
  </si>
  <si>
    <t>Rate Gyro</t>
  </si>
  <si>
    <t>AOCS (sensors)</t>
  </si>
  <si>
    <t>Telemetry processing (with compression)</t>
  </si>
  <si>
    <t>Telemetry processing</t>
  </si>
  <si>
    <t>Command Processing</t>
  </si>
  <si>
    <t>Communication</t>
  </si>
  <si>
    <t>SLOC</t>
  </si>
  <si>
    <t>CSC(Computer software componets)</t>
  </si>
  <si>
    <t>C&amp;DH Typical SLOC</t>
  </si>
  <si>
    <t xml:space="preserve">Small Satellite Cost Breakdown  </t>
  </si>
  <si>
    <t>Inflation Factors</t>
  </si>
  <si>
    <t xml:space="preserve">Buckling Coefficient </t>
  </si>
  <si>
    <t xml:space="preserve">Secondary Batteries - Depth-of-Discharge vs. Cycle Life  </t>
  </si>
  <si>
    <t xml:space="preserve">Communications - Amplifiers  </t>
  </si>
  <si>
    <t xml:space="preserve">ADCS Sensor Sizing </t>
  </si>
  <si>
    <t>Typical Power Consumption</t>
  </si>
  <si>
    <t>Planet - Percent of Earth's Atmosphere</t>
  </si>
  <si>
    <t>Planet - Average Solar Flux</t>
  </si>
  <si>
    <t>Planet - Maximum Solar Flux</t>
  </si>
  <si>
    <t>Planet - Minimum IR Emission</t>
  </si>
  <si>
    <t>Mass Distribution for Selected Spacecraft</t>
  </si>
  <si>
    <t>Planet - Maximum IR Emission</t>
  </si>
  <si>
    <t>Planet - Magnetic Moment</t>
  </si>
  <si>
    <t>Planet - Velocity at Equator</t>
  </si>
  <si>
    <t>hours</t>
  </si>
  <si>
    <t>Planet - Solar Day</t>
  </si>
  <si>
    <t>Planet - Sidereal Day</t>
  </si>
  <si>
    <t>Planet - Sun Perigee Rotation Coefficient</t>
  </si>
  <si>
    <t>Planet - Moon Perigee Rotation Coefficient</t>
  </si>
  <si>
    <t>Planet - Sun Node Precession Coefficient</t>
  </si>
  <si>
    <t>Planet - Moon Node Precession Coefficient</t>
  </si>
  <si>
    <t>Planet - J2</t>
  </si>
  <si>
    <t>Planet - Gravitational Constant</t>
  </si>
  <si>
    <t>Planet - Radius</t>
  </si>
  <si>
    <t>days</t>
  </si>
  <si>
    <t>Planet - Orbital Period</t>
  </si>
  <si>
    <t>Radius of Planet Orbit around the Sun</t>
  </si>
  <si>
    <t>Earth - Solar Day</t>
  </si>
  <si>
    <t>Earth - Sidereal Day</t>
  </si>
  <si>
    <t>Earth - Gravitational Constant</t>
  </si>
  <si>
    <t>Earth - Radius</t>
  </si>
  <si>
    <t>Earth - Orbital Period</t>
  </si>
  <si>
    <t>Radius of Earth Orbit around the Sun</t>
  </si>
  <si>
    <t>Sun - Gravitational Constant</t>
  </si>
  <si>
    <t>Drag Table</t>
  </si>
  <si>
    <t>Planet - Albedo</t>
  </si>
  <si>
    <t>Mercury</t>
  </si>
  <si>
    <t>Venus</t>
  </si>
  <si>
    <t>Mars</t>
  </si>
  <si>
    <t>Jupiter</t>
  </si>
  <si>
    <t>Saturn</t>
  </si>
  <si>
    <t>Uranus</t>
  </si>
  <si>
    <t>Neptune</t>
  </si>
  <si>
    <t>Pluto/Charon</t>
  </si>
  <si>
    <t>AU</t>
  </si>
  <si>
    <t>Planets Data</t>
  </si>
  <si>
    <t>Max_IR</t>
  </si>
  <si>
    <t>Min_IR</t>
  </si>
  <si>
    <t>Mu</t>
  </si>
  <si>
    <t>Radius</t>
  </si>
  <si>
    <t>J2</t>
  </si>
  <si>
    <t>Period Around the Sun</t>
  </si>
  <si>
    <t>Orbital Period</t>
  </si>
  <si>
    <t>Magnetic Moment</t>
  </si>
  <si>
    <t>8-mil quartz mirrors</t>
  </si>
  <si>
    <t>Quartz mirrors (diffuse)</t>
  </si>
  <si>
    <t>2-mil silvered Teflon</t>
  </si>
  <si>
    <t>5-mil silvered Teflon</t>
  </si>
  <si>
    <t>White Paint (S13G-LO)</t>
  </si>
  <si>
    <t>White Paint  (Chemglaze A276)</t>
  </si>
  <si>
    <t>White Paint (Z93)</t>
  </si>
  <si>
    <t>Black Paint (Chemglaze Z306 )</t>
  </si>
  <si>
    <t>Black Paint (3M Black Velvet )</t>
  </si>
  <si>
    <t>Aluminized Kapton (1/2 mil)</t>
  </si>
  <si>
    <t>Aluminized Kapton (1 mil)</t>
  </si>
  <si>
    <t>Aluminized Kapton (2 mil)</t>
  </si>
  <si>
    <t>Aluminized Kapton (5 mil)</t>
  </si>
  <si>
    <t>Mylar</t>
  </si>
  <si>
    <t>Beta cloth</t>
  </si>
  <si>
    <t>Astro Quartz</t>
  </si>
  <si>
    <t>degrades</t>
  </si>
  <si>
    <t>Emissivity</t>
  </si>
  <si>
    <t>eps</t>
  </si>
  <si>
    <t xml:space="preserve">Absorptivity </t>
  </si>
  <si>
    <t>abs</t>
  </si>
  <si>
    <t>Specific Heat Capacity</t>
  </si>
  <si>
    <t>Add body mounted SA</t>
  </si>
  <si>
    <t>Spacecraft Configuration</t>
  </si>
  <si>
    <t>Body Mounted SA</t>
  </si>
  <si>
    <t>Deployable SA</t>
  </si>
  <si>
    <t>Minimum</t>
  </si>
  <si>
    <t>Maximum</t>
  </si>
  <si>
    <t>Solar Flux Intensity</t>
  </si>
  <si>
    <t>Central Body</t>
  </si>
  <si>
    <t>deg,C</t>
  </si>
  <si>
    <t>X Values</t>
  </si>
  <si>
    <t>Eclipse Time</t>
  </si>
  <si>
    <t>Aluminized Teflon (2-mil)</t>
  </si>
  <si>
    <t>Aluminized Teflon (5-mil )</t>
  </si>
  <si>
    <t>[Ecl]</t>
  </si>
  <si>
    <t>Solar Array Body Mounted</t>
  </si>
  <si>
    <t>Thermal Control Mass [Estimated]</t>
  </si>
  <si>
    <t xml:space="preserve">added selection of spacecraft solar panels configuration </t>
  </si>
  <si>
    <t xml:space="preserve">added spacecraft materials and conductivity </t>
  </si>
  <si>
    <t>Updated passive thermal control materials</t>
  </si>
  <si>
    <t>Aluminium 6061</t>
  </si>
  <si>
    <t>Aluminium Alloy 7075</t>
  </si>
  <si>
    <t>Thermal Conductivity</t>
  </si>
  <si>
    <t>Optical Proprieties</t>
  </si>
  <si>
    <t>Name</t>
  </si>
  <si>
    <t>Date</t>
  </si>
  <si>
    <t>File version</t>
  </si>
  <si>
    <t>Sheet Name</t>
  </si>
  <si>
    <t>Change</t>
  </si>
  <si>
    <t>Reason for Change</t>
  </si>
  <si>
    <t>Loris Franchi</t>
  </si>
  <si>
    <t>added dynamic evaluation of temperature decrease during eclipse</t>
  </si>
  <si>
    <t>added dynamic evaluation of temperature decrease during eclipse varying spacecraft absorptivity</t>
  </si>
  <si>
    <t>Added different central bodies</t>
  </si>
  <si>
    <t>added trade space evaluation for different alpha and epsilon</t>
  </si>
  <si>
    <t xml:space="preserve">Not all the sphere emits IR. 1/4 of the spacecraft points towards the earth </t>
  </si>
  <si>
    <t>Correction of formula in max equilibrium temperature  ( added a 3/4)</t>
  </si>
  <si>
    <r>
      <rPr>
        <b/>
        <sz val="11"/>
        <color theme="1"/>
        <rFont val="Calibri"/>
        <family val="2"/>
        <scheme val="minor"/>
      </rPr>
      <t xml:space="preserve">Mission Phases and System Modes
</t>
    </r>
    <r>
      <rPr>
        <sz val="10"/>
        <rFont val="Times New Roman"/>
        <family val="1"/>
      </rPr>
      <t>Add description here</t>
    </r>
  </si>
  <si>
    <t>Mission Phases</t>
  </si>
  <si>
    <t>Phase</t>
  </si>
  <si>
    <t>Description</t>
  </si>
  <si>
    <t>Mode</t>
  </si>
  <si>
    <t>Launch</t>
  </si>
  <si>
    <t>LEOP</t>
  </si>
  <si>
    <t>TransferToOrbit</t>
  </si>
  <si>
    <t>Science</t>
  </si>
  <si>
    <t>Disposal</t>
  </si>
  <si>
    <t>Thermal Modes</t>
  </si>
  <si>
    <t>Actual minimum temperature after eclipse</t>
  </si>
  <si>
    <t>Subsystem</t>
  </si>
  <si>
    <t>Equipment</t>
  </si>
  <si>
    <t xml:space="preserve">Thermal Budget </t>
  </si>
  <si>
    <t>Thermal Requirments</t>
  </si>
  <si>
    <t>Maximum operating temperature(deg, C)</t>
  </si>
  <si>
    <t>Minimum Operating Temperature (deg, C)</t>
  </si>
  <si>
    <t>Required thermal control</t>
  </si>
  <si>
    <t>This calculation sheet shall be used for the evaluation of upper and lower temperature limit for the spacecraft. 
Some equipments may need a dedicated thermal control. 
If no data are avaiable proceed to sheet Thermal control</t>
  </si>
  <si>
    <t>Buttons on the right are used to evaluate the variation of equilibrium temperatures with respect to absorptivity and emissivity. It is also possible to evaluate the variation of temperature during eclipse times.</t>
  </si>
  <si>
    <t>Eclipse</t>
  </si>
  <si>
    <t xml:space="preserve">Sunlight </t>
  </si>
  <si>
    <t>Reaction Wheel</t>
  </si>
  <si>
    <t>Trade-off table</t>
  </si>
  <si>
    <t>1. Fill in the names of the trade-off parameters in the green priority list. Leave empty if no parameter</t>
  </si>
  <si>
    <t>&gt;</t>
  </si>
  <si>
    <t>R. Biesbroek</t>
  </si>
  <si>
    <t>=</t>
  </si>
  <si>
    <t>TEC-SYE</t>
  </si>
  <si>
    <t>This will automatically create the weight factor definition table.  (replace them if you do not agree with the outcome)</t>
  </si>
  <si>
    <t>3. Define the options e.g. replace 'text 1' by 'chemical propulsion platform'</t>
  </si>
  <si>
    <t>5. The bottom row will give the ranking of the options, taking into account the weight factors</t>
  </si>
  <si>
    <t>Please fill in only the GREEN parts in the tables!</t>
  </si>
  <si>
    <t>Please insert trade-off parameter names  in the green list and select condition ('&gt;' or '=')from the drop-down menu's: (order in terms of decreasing importance)</t>
  </si>
  <si>
    <t>Parameter1</t>
  </si>
  <si>
    <t>parameter2</t>
  </si>
  <si>
    <t>parameter3</t>
  </si>
  <si>
    <t>parameter4</t>
  </si>
  <si>
    <t>parameter5</t>
  </si>
  <si>
    <t>parameter6</t>
  </si>
  <si>
    <t>parameter7</t>
  </si>
  <si>
    <t>parameter8</t>
  </si>
  <si>
    <t>parameter9</t>
  </si>
  <si>
    <t>parameter10</t>
  </si>
  <si>
    <t>Priority List</t>
  </si>
  <si>
    <t>E</t>
  </si>
  <si>
    <t>Value:</t>
  </si>
  <si>
    <t>Weight factor
definition
table</t>
  </si>
  <si>
    <t>Total score</t>
  </si>
  <si>
    <t>Scaled score
(&gt;=1)</t>
  </si>
  <si>
    <t>Weight factor 
(0..1)</t>
  </si>
  <si>
    <t>Trade-off table. Please define the option names, and fill in the score for each option, for each parameter. The bottom row will show the ranking</t>
  </si>
  <si>
    <t>Options
definition:</t>
  </si>
  <si>
    <t>Option 1</t>
  </si>
  <si>
    <t>Option 2</t>
  </si>
  <si>
    <t>Option 3</t>
  </si>
  <si>
    <t>Option 4</t>
  </si>
  <si>
    <t>Option 5</t>
  </si>
  <si>
    <t>Option 6</t>
  </si>
  <si>
    <t>Option 7</t>
  </si>
  <si>
    <t>Option 8</t>
  </si>
  <si>
    <t>Option 9</t>
  </si>
  <si>
    <t>Option 10</t>
  </si>
  <si>
    <t>Option 11</t>
  </si>
  <si>
    <t>Option 12</t>
  </si>
  <si>
    <t>Option 13</t>
  </si>
  <si>
    <t>Option 14</t>
  </si>
  <si>
    <t>Option 15</t>
  </si>
  <si>
    <t>Weight
Factor
(1..10)</t>
  </si>
  <si>
    <t>text 1</t>
  </si>
  <si>
    <t>text 2</t>
  </si>
  <si>
    <t>text 3</t>
  </si>
  <si>
    <t>text 4</t>
  </si>
  <si>
    <t>text 5</t>
  </si>
  <si>
    <t>text 6</t>
  </si>
  <si>
    <t>text 7</t>
  </si>
  <si>
    <t>text 8</t>
  </si>
  <si>
    <t>text 9</t>
  </si>
  <si>
    <t>text 10</t>
  </si>
  <si>
    <t>text 11</t>
  </si>
  <si>
    <t>text 12</t>
  </si>
  <si>
    <t>text 13</t>
  </si>
  <si>
    <t>text 14</t>
  </si>
  <si>
    <t>text 15</t>
  </si>
  <si>
    <t>Ranking</t>
  </si>
  <si>
    <t>Sum of Value</t>
  </si>
  <si>
    <t>Column Labels</t>
  </si>
  <si>
    <t>Row Labels</t>
  </si>
  <si>
    <t>Grand Total</t>
  </si>
  <si>
    <t>Product</t>
  </si>
  <si>
    <t>(blank)</t>
  </si>
  <si>
    <t>Temp_oper_max</t>
  </si>
  <si>
    <t>Temp_oper_min</t>
  </si>
  <si>
    <r>
      <rPr>
        <b/>
        <sz val="11"/>
        <color theme="1"/>
        <rFont val="Calibri"/>
        <family val="2"/>
        <scheme val="minor"/>
      </rPr>
      <t xml:space="preserve">Thermal Budget Pivot Table
</t>
    </r>
    <r>
      <rPr>
        <sz val="10"/>
        <rFont val="Times New Roman"/>
        <family val="1"/>
      </rPr>
      <t xml:space="preserve">At the beginning of the study, please link the Pivot Table below to the corresponding OCDT model:
1) Click on the Pivot Table, 2) In the </t>
    </r>
    <r>
      <rPr>
        <i/>
        <sz val="11"/>
        <color theme="1"/>
        <rFont val="Calibri"/>
        <family val="2"/>
        <scheme val="minor"/>
      </rPr>
      <t xml:space="preserve">Pivot Table Tools </t>
    </r>
    <r>
      <rPr>
        <sz val="10"/>
        <rFont val="Times New Roman"/>
        <family val="1"/>
      </rPr>
      <t xml:space="preserve">click on the </t>
    </r>
    <r>
      <rPr>
        <i/>
        <sz val="11"/>
        <color theme="1"/>
        <rFont val="Calibri"/>
        <family val="2"/>
        <scheme val="minor"/>
      </rPr>
      <t xml:space="preserve">Options </t>
    </r>
    <r>
      <rPr>
        <sz val="10"/>
        <rFont val="Times New Roman"/>
        <family val="1"/>
      </rPr>
      <t xml:space="preserve">(Excel 2013: </t>
    </r>
    <r>
      <rPr>
        <i/>
        <sz val="11"/>
        <color theme="1"/>
        <rFont val="Calibri"/>
        <family val="2"/>
        <scheme val="minor"/>
      </rPr>
      <t>Analyze</t>
    </r>
    <r>
      <rPr>
        <sz val="10"/>
        <rFont val="Times New Roman"/>
        <family val="1"/>
      </rPr>
      <t xml:space="preserve">) tab, 3) Click on </t>
    </r>
    <r>
      <rPr>
        <i/>
        <sz val="11"/>
        <color theme="1"/>
        <rFont val="Calibri"/>
        <family val="2"/>
        <scheme val="minor"/>
      </rPr>
      <t>Change Data Source</t>
    </r>
    <r>
      <rPr>
        <sz val="10"/>
        <rFont val="Times New Roman"/>
        <family val="1"/>
      </rPr>
      <t xml:space="preserve">, 4) Click on </t>
    </r>
    <r>
      <rPr>
        <i/>
        <sz val="11"/>
        <color theme="1"/>
        <rFont val="Calibri"/>
        <family val="2"/>
        <scheme val="minor"/>
      </rPr>
      <t>Select a table or range</t>
    </r>
    <r>
      <rPr>
        <sz val="10"/>
        <rFont val="Times New Roman"/>
        <family val="1"/>
      </rPr>
      <t xml:space="preserve">, 5) Enter "Range_Default" or "Range_&lt;name of option&gt;" into the </t>
    </r>
    <r>
      <rPr>
        <i/>
        <sz val="11"/>
        <color theme="1"/>
        <rFont val="Calibri"/>
        <family val="2"/>
        <scheme val="minor"/>
      </rPr>
      <t xml:space="preserve">Table/Range </t>
    </r>
    <r>
      <rPr>
        <sz val="10"/>
        <rFont val="Times New Roman"/>
        <family val="1"/>
      </rPr>
      <t>field.</t>
    </r>
  </si>
  <si>
    <t>Function</t>
  </si>
  <si>
    <t>ADS_B (ADS-B)</t>
  </si>
  <si>
    <t>AIS (AIS)</t>
  </si>
  <si>
    <t>ant_ADSB (ADS-B Antenna)</t>
  </si>
  <si>
    <t>ant_ADSB_2 (ADS-B Antenna #2)</t>
  </si>
  <si>
    <t>ant_ADSB_3 (ADS-B Antenna #3)</t>
  </si>
  <si>
    <t>ant_ADSB_4 (ADS-B Antenna #4)</t>
  </si>
  <si>
    <t>ant_ADSB_5 (ADS-B Antenna #5)</t>
  </si>
  <si>
    <t>ant_ADSB_6 (ADS-B Antenna #6)</t>
  </si>
  <si>
    <t>ant_AIS (AIS Antenna)</t>
  </si>
  <si>
    <t>Ant_Dep_Gim (Antenna Deployment Gimbal)</t>
  </si>
  <si>
    <t>Ant_Dep_Mec (Antenna Deployment Mechanism)</t>
  </si>
  <si>
    <t>Ant_Downlink (Downlink Antenna)</t>
  </si>
  <si>
    <t>bat (Battery)</t>
  </si>
  <si>
    <t>MIMU_1 (MEMS IMU #1)</t>
  </si>
  <si>
    <t>MIMU_2 (MEMS IMU #2)</t>
  </si>
  <si>
    <t>MMHTank (MMH_Tank)</t>
  </si>
  <si>
    <t>NTOTank (NTO_Tank)</t>
  </si>
  <si>
    <t>pcdu (PCDU)</t>
  </si>
  <si>
    <t>Pressnt (Pressurant)</t>
  </si>
  <si>
    <t>PressTank (Pressure_Tanks)</t>
  </si>
  <si>
    <t>Prop (Propellant)</t>
  </si>
  <si>
    <t>PropPiping (Propulsion_Piping)</t>
  </si>
  <si>
    <t>RAD_1 (Radiator #1)</t>
  </si>
  <si>
    <t>RAD_2 (Radiator #2)</t>
  </si>
  <si>
    <t>RCSThr (RCS_Thrusters)</t>
  </si>
  <si>
    <t>RMU (RMU)</t>
  </si>
  <si>
    <t>RW_1 (Reaction Wheel #1)</t>
  </si>
  <si>
    <t>RW_2 (Reaction Wheel #2)</t>
  </si>
  <si>
    <t>RW_3 (Reaction Wheel #3)</t>
  </si>
  <si>
    <t>RW_4 (Reaction Wheel #4)</t>
  </si>
  <si>
    <t>sol_pan_1 (Solar Panel #1)</t>
  </si>
  <si>
    <t>sol_pan_2 (Solar Panel #2)</t>
  </si>
  <si>
    <t>Sol_Pan_Dep (Solar Panel Deployment)</t>
  </si>
  <si>
    <t>Sol_Pan_Gim (Solar Panel Gimbal)</t>
  </si>
  <si>
    <t>Sol_Pan_Hin (Solar Panel Hinges)</t>
  </si>
  <si>
    <t>SS_ElecBox (Sun Sensor Electronics Box)</t>
  </si>
  <si>
    <t>Star_trckr_1 (Star Tracker #1)</t>
  </si>
  <si>
    <t>Star_trckr_2 (Star Tracker #2)</t>
  </si>
  <si>
    <t>Sun_Snsr_1 (Sun Sensor #1)</t>
  </si>
  <si>
    <t>Sun_Snsr_2 (Sun Sensor #2)</t>
  </si>
  <si>
    <t>Sun_Snsr_3 (Sun Sensor #3)</t>
  </si>
  <si>
    <t>Sun_Snsr_4 (Sun Sensor #4)</t>
  </si>
  <si>
    <t>Sun_Snsr_5 (Sun Sensor #5)</t>
  </si>
  <si>
    <t>Sun_Snsr_6 (Sun Sensor #6)</t>
  </si>
  <si>
    <t>trans_TWTA (Transmitter TWTA)</t>
  </si>
  <si>
    <t>Cost</t>
  </si>
  <si>
    <t>Add options and parameters to Radar Chart:</t>
  </si>
  <si>
    <t>1. Right click on the radar chart</t>
  </si>
  <si>
    <t xml:space="preserve">2. Click on select data </t>
  </si>
  <si>
    <t>3. In horizontal axes label select or unselect the parameters that will be displayed</t>
  </si>
  <si>
    <t xml:space="preserve">4. in legend entries click add </t>
  </si>
  <si>
    <t>5. Select option name ( row 30 column x ) as series name</t>
  </si>
  <si>
    <t>6. select the value of each parameter related to the option for values</t>
  </si>
  <si>
    <t xml:space="preserve">2. Rank the parameters in order of priority and indicate if a parameter is more important (&gt;) or equally important (=) than the next one. </t>
  </si>
  <si>
    <t>4. Fill in the trade-off table by assigning a score to each option for each key trade-off parameter. Use the same scale, e.g. 1 to 5</t>
  </si>
  <si>
    <t>Equilibrium temperature</t>
  </si>
  <si>
    <t>Key trade-off parameters &amp; weight factor definition. This table is automatically produced and requires no inputs</t>
  </si>
  <si>
    <t>Key trade-off Parameter</t>
  </si>
  <si>
    <t>Version 1.4</t>
  </si>
  <si>
    <t>Politecnico di Torino</t>
  </si>
  <si>
    <t>For constants please refere to Space mission analysis and design third edition</t>
  </si>
  <si>
    <t>Eclise Time</t>
  </si>
  <si>
    <t>eps=0,89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</si>
</sst>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00E+00"/>
    <numFmt numFmtId="165" formatCode="0.0"/>
    <numFmt numFmtId="166" formatCode="0.000"/>
    <numFmt numFmtId="167" formatCode="0.0%"/>
    <numFmt numFmtId="168" formatCode="0.000E+00"/>
    <numFmt numFmtId="169" formatCode="0.0000"/>
  </numFmts>
  <fonts count="63" x14ac:knownFonts="1">
    <font>
      <sz val="10"/>
      <name val="Times New Roman"/>
      <family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Times New Roman"/>
      <family val="1"/>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Times New Roman"/>
      <family val="1"/>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Times New Roman"/>
      <family val="1"/>
    </font>
    <font>
      <b/>
      <sz val="10"/>
      <name val="Times New Roman"/>
      <family val="1"/>
    </font>
    <font>
      <i/>
      <sz val="10"/>
      <name val="Times New Roman"/>
      <family val="1"/>
    </font>
    <font>
      <b/>
      <sz val="14"/>
      <name val="Times New Roman"/>
      <family val="1"/>
    </font>
    <font>
      <b/>
      <i/>
      <sz val="11"/>
      <name val="Times New Roman"/>
      <family val="1"/>
    </font>
    <font>
      <b/>
      <i/>
      <sz val="10"/>
      <name val="Times New Roman"/>
      <family val="1"/>
    </font>
    <font>
      <sz val="8"/>
      <color indexed="81"/>
      <name val="Times New Roman"/>
      <family val="1"/>
    </font>
    <font>
      <i/>
      <sz val="10"/>
      <color theme="1"/>
      <name val="Times New Roman"/>
      <family val="1"/>
    </font>
    <font>
      <sz val="10"/>
      <color theme="3" tint="0.39997558519241921"/>
      <name val="Times New Roman"/>
      <family val="1"/>
    </font>
    <font>
      <sz val="10"/>
      <color theme="3" tint="0.39997558519241921"/>
      <name val="Calibri"/>
      <family val="2"/>
      <scheme val="minor"/>
    </font>
    <font>
      <b/>
      <sz val="11"/>
      <name val="Times New Roman"/>
      <family val="1"/>
    </font>
    <font>
      <sz val="10"/>
      <color rgb="FF000000"/>
      <name val="Times New Roman"/>
      <family val="1"/>
    </font>
    <font>
      <sz val="10"/>
      <color rgb="FF538DD5"/>
      <name val="Times New Roman"/>
      <family val="1"/>
    </font>
    <font>
      <b/>
      <sz val="10"/>
      <color rgb="FF538DD5"/>
      <name val="Times New Roman"/>
      <family val="1"/>
    </font>
    <font>
      <b/>
      <sz val="12"/>
      <name val="Times New Roman"/>
      <family val="1"/>
    </font>
    <font>
      <sz val="10"/>
      <name val="Segoe UI"/>
      <family val="2"/>
    </font>
    <font>
      <i/>
      <sz val="10"/>
      <name val="Segoe UI"/>
      <family val="2"/>
    </font>
    <font>
      <b/>
      <sz val="10"/>
      <name val="Segoe UI"/>
      <family val="2"/>
    </font>
    <font>
      <sz val="8"/>
      <name val="Segoe UI"/>
      <family val="2"/>
    </font>
    <font>
      <b/>
      <i/>
      <sz val="8"/>
      <name val="Segoe UI"/>
      <family val="2"/>
    </font>
    <font>
      <b/>
      <sz val="8"/>
      <name val="Segoe UI"/>
      <family val="2"/>
    </font>
    <font>
      <i/>
      <sz val="9"/>
      <name val="Segoe UI"/>
      <family val="2"/>
    </font>
    <font>
      <b/>
      <sz val="9"/>
      <color indexed="81"/>
      <name val="Tahoma"/>
      <family val="2"/>
    </font>
    <font>
      <sz val="9"/>
      <color indexed="81"/>
      <name val="Tahoma"/>
      <family val="2"/>
    </font>
    <font>
      <sz val="10"/>
      <name val="Arial"/>
      <family val="2"/>
    </font>
    <font>
      <sz val="11"/>
      <color rgb="FF000000"/>
      <name val="Georgia"/>
      <family val="2"/>
    </font>
    <font>
      <sz val="11"/>
      <color rgb="FFFFFFFF"/>
      <name val="Georgia"/>
      <family val="2"/>
    </font>
    <font>
      <sz val="16"/>
      <name val="Times New Roman"/>
      <family val="1"/>
    </font>
    <font>
      <b/>
      <sz val="11"/>
      <color theme="1"/>
      <name val="Calibri"/>
      <family val="2"/>
      <scheme val="minor"/>
    </font>
    <font>
      <sz val="10"/>
      <color theme="1"/>
      <name val="Georgia"/>
      <family val="1"/>
    </font>
    <font>
      <sz val="12"/>
      <color theme="1"/>
      <name val="Georgia"/>
      <family val="1"/>
    </font>
    <font>
      <b/>
      <sz val="12"/>
      <color theme="1"/>
      <name val="Georgia"/>
      <family val="1"/>
    </font>
    <font>
      <sz val="11"/>
      <color indexed="8"/>
      <name val="Georgia"/>
      <family val="2"/>
    </font>
    <font>
      <sz val="11"/>
      <color indexed="9"/>
      <name val="Georgia"/>
      <family val="2"/>
    </font>
    <font>
      <b/>
      <sz val="18"/>
      <color theme="1"/>
      <name val="Calibri"/>
      <family val="2"/>
      <scheme val="minor"/>
    </font>
    <font>
      <i/>
      <sz val="11"/>
      <color theme="1"/>
      <name val="Calibri"/>
      <family val="2"/>
      <scheme val="minor"/>
    </font>
    <font>
      <b/>
      <i/>
      <sz val="11"/>
      <color theme="4" tint="-0.499984740745262"/>
      <name val="Calibri"/>
      <family val="2"/>
      <scheme val="minor"/>
    </font>
    <font>
      <b/>
      <sz val="22"/>
      <name val="Segoe UI"/>
      <family val="2"/>
    </font>
    <font>
      <b/>
      <u/>
      <sz val="10"/>
      <name val="Times New Roman"/>
      <family val="1"/>
    </font>
  </fonts>
  <fills count="5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4"/>
        <bgColor indexed="64"/>
      </patternFill>
    </fill>
    <fill>
      <patternFill patternType="solid">
        <fgColor indexed="22"/>
        <bgColor indexed="64"/>
      </patternFill>
    </fill>
    <fill>
      <patternFill patternType="solid">
        <fgColor theme="3" tint="0.39997558519241921"/>
        <bgColor indexed="64"/>
      </patternFill>
    </fill>
    <fill>
      <patternFill patternType="solid">
        <fgColor theme="0"/>
        <bgColor indexed="64"/>
      </patternFill>
    </fill>
    <fill>
      <patternFill patternType="solid">
        <fgColor theme="8" tint="0.39997558519241921"/>
        <bgColor indexed="64"/>
      </patternFill>
    </fill>
    <fill>
      <gradientFill degree="270">
        <stop position="0">
          <color theme="4" tint="0.80001220740379042"/>
        </stop>
        <stop position="1">
          <color theme="4"/>
        </stop>
      </gradientFill>
    </fill>
    <fill>
      <patternFill patternType="solid">
        <fgColor theme="4" tint="0.79998168889431442"/>
        <bgColor indexed="64"/>
      </patternFill>
    </fill>
    <fill>
      <gradientFill degree="270">
        <stop position="0">
          <color theme="8" tint="0.80001220740379042"/>
        </stop>
        <stop position="1">
          <color theme="8" tint="-0.25098422193060094"/>
        </stop>
      </gradientFill>
    </fill>
    <fill>
      <patternFill patternType="solid">
        <fgColor theme="8"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rgb="FFFFFF66"/>
        <bgColor indexed="64"/>
      </patternFill>
    </fill>
    <fill>
      <patternFill patternType="solid">
        <fgColor rgb="FFFFFFCC"/>
        <bgColor indexed="64"/>
      </patternFill>
    </fill>
    <fill>
      <patternFill patternType="solid">
        <fgColor rgb="FF00B0F0"/>
        <bgColor indexed="64"/>
      </patternFill>
    </fill>
    <fill>
      <patternFill patternType="solid">
        <fgColor rgb="FF538DD5"/>
        <bgColor indexed="64"/>
      </patternFill>
    </fill>
    <fill>
      <patternFill patternType="solid">
        <fgColor rgb="FF002664"/>
      </patternFill>
    </fill>
    <fill>
      <patternFill patternType="solid">
        <fgColor rgb="FF0D4A81"/>
        <bgColor indexed="64"/>
      </patternFill>
    </fill>
    <fill>
      <patternFill patternType="solid">
        <fgColor rgb="FFAACAEA"/>
      </patternFill>
    </fill>
    <fill>
      <patternFill patternType="solid">
        <fgColor rgb="FF0098DB"/>
      </patternFill>
    </fill>
    <fill>
      <patternFill patternType="solid">
        <fgColor theme="0" tint="-4.9989318521683403E-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DAEEF3"/>
        <bgColor indexed="64"/>
      </patternFill>
    </fill>
    <fill>
      <patternFill patternType="solid">
        <fgColor indexed="62"/>
        <bgColor indexed="64"/>
      </patternFill>
    </fill>
    <fill>
      <patternFill patternType="solid">
        <fgColor rgb="FF92D050"/>
        <bgColor indexed="64"/>
      </patternFill>
    </fill>
    <fill>
      <patternFill patternType="solid">
        <fgColor theme="0" tint="-0.499984740745262"/>
        <bgColor indexed="64"/>
      </patternFill>
    </fill>
    <fill>
      <patternFill patternType="solid">
        <fgColor theme="0" tint="-0.34998626667073579"/>
        <bgColor indexed="64"/>
      </patternFill>
    </fill>
    <fill>
      <patternFill patternType="solid">
        <fgColor theme="0" tint="-0.249977111117893"/>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medium">
        <color theme="8" tint="-0.249977111117893"/>
      </bottom>
      <diagonal/>
    </border>
    <border>
      <left style="thick">
        <color theme="4" tint="-0.249977111117893"/>
      </left>
      <right/>
      <top/>
      <bottom/>
      <diagonal/>
    </border>
    <border>
      <left/>
      <right style="thick">
        <color theme="4" tint="-0.249977111117893"/>
      </right>
      <top/>
      <bottom/>
      <diagonal/>
    </border>
    <border>
      <left style="thick">
        <color theme="4" tint="-0.249977111117893"/>
      </left>
      <right/>
      <top/>
      <bottom style="thick">
        <color theme="4" tint="-0.249977111117893"/>
      </bottom>
      <diagonal/>
    </border>
    <border>
      <left/>
      <right/>
      <top/>
      <bottom style="thick">
        <color theme="4" tint="-0.249977111117893"/>
      </bottom>
      <diagonal/>
    </border>
    <border>
      <left/>
      <right style="thick">
        <color theme="4" tint="-0.249977111117893"/>
      </right>
      <top/>
      <bottom style="thick">
        <color theme="4" tint="-0.249977111117893"/>
      </bottom>
      <diagonal/>
    </border>
    <border>
      <left style="thick">
        <color theme="4" tint="-0.249977111117893"/>
      </left>
      <right/>
      <top style="thick">
        <color theme="4" tint="-0.249977111117893"/>
      </top>
      <bottom/>
      <diagonal/>
    </border>
    <border>
      <left/>
      <right/>
      <top style="thick">
        <color theme="4" tint="-0.249977111117893"/>
      </top>
      <bottom/>
      <diagonal/>
    </border>
    <border>
      <left/>
      <right style="thick">
        <color theme="4" tint="-0.249977111117893"/>
      </right>
      <top style="thick">
        <color theme="4" tint="-0.249977111117893"/>
      </top>
      <bottom/>
      <diagonal/>
    </border>
    <border>
      <left style="thick">
        <color theme="8" tint="-0.249977111117893"/>
      </left>
      <right/>
      <top style="thick">
        <color theme="8" tint="-0.249977111117893"/>
      </top>
      <bottom/>
      <diagonal/>
    </border>
    <border>
      <left/>
      <right/>
      <top style="thick">
        <color theme="8" tint="-0.249977111117893"/>
      </top>
      <bottom/>
      <diagonal/>
    </border>
    <border>
      <left/>
      <right style="thick">
        <color theme="8" tint="-0.249977111117893"/>
      </right>
      <top style="thick">
        <color theme="8" tint="-0.249977111117893"/>
      </top>
      <bottom/>
      <diagonal/>
    </border>
    <border>
      <left style="thick">
        <color theme="8" tint="-0.249977111117893"/>
      </left>
      <right/>
      <top/>
      <bottom/>
      <diagonal/>
    </border>
    <border>
      <left/>
      <right style="thick">
        <color theme="8" tint="-0.249977111117893"/>
      </right>
      <top/>
      <bottom/>
      <diagonal/>
    </border>
    <border>
      <left style="thick">
        <color theme="8" tint="-0.249977111117893"/>
      </left>
      <right/>
      <top/>
      <bottom style="thick">
        <color theme="8" tint="-0.249977111117893"/>
      </bottom>
      <diagonal/>
    </border>
    <border>
      <left/>
      <right/>
      <top/>
      <bottom style="thick">
        <color theme="8" tint="-0.249977111117893"/>
      </bottom>
      <diagonal/>
    </border>
    <border>
      <left/>
      <right style="thick">
        <color theme="8" tint="-0.249977111117893"/>
      </right>
      <top/>
      <bottom style="thick">
        <color theme="8" tint="-0.249977111117893"/>
      </bottom>
      <diagonal/>
    </border>
    <border>
      <left style="medium">
        <color theme="8" tint="-0.249977111117893"/>
      </left>
      <right/>
      <top style="medium">
        <color theme="8" tint="-0.249977111117893"/>
      </top>
      <bottom/>
      <diagonal/>
    </border>
    <border>
      <left/>
      <right/>
      <top style="medium">
        <color theme="8" tint="-0.249977111117893"/>
      </top>
      <bottom/>
      <diagonal/>
    </border>
    <border>
      <left/>
      <right style="medium">
        <color theme="8" tint="-0.249977111117893"/>
      </right>
      <top style="medium">
        <color theme="8" tint="-0.249977111117893"/>
      </top>
      <bottom/>
      <diagonal/>
    </border>
    <border>
      <left style="medium">
        <color theme="8" tint="-0.249977111117893"/>
      </left>
      <right/>
      <top/>
      <bottom style="medium">
        <color theme="8" tint="-0.249977111117893"/>
      </bottom>
      <diagonal/>
    </border>
    <border>
      <left/>
      <right style="medium">
        <color theme="8" tint="-0.249977111117893"/>
      </right>
      <top/>
      <bottom style="medium">
        <color theme="8" tint="-0.249977111117893"/>
      </bottom>
      <diagonal/>
    </border>
    <border>
      <left style="thick">
        <color theme="8" tint="-0.499984740745262"/>
      </left>
      <right/>
      <top style="thick">
        <color theme="8" tint="-0.499984740745262"/>
      </top>
      <bottom/>
      <diagonal/>
    </border>
    <border>
      <left/>
      <right/>
      <top style="thick">
        <color theme="8" tint="-0.499984740745262"/>
      </top>
      <bottom/>
      <diagonal/>
    </border>
    <border>
      <left/>
      <right style="thick">
        <color theme="8" tint="-0.499984740745262"/>
      </right>
      <top style="thick">
        <color theme="8" tint="-0.499984740745262"/>
      </top>
      <bottom/>
      <diagonal/>
    </border>
    <border>
      <left style="thick">
        <color theme="8" tint="-0.499984740745262"/>
      </left>
      <right/>
      <top/>
      <bottom/>
      <diagonal/>
    </border>
    <border>
      <left/>
      <right style="thick">
        <color theme="8" tint="-0.499984740745262"/>
      </right>
      <top/>
      <bottom/>
      <diagonal/>
    </border>
    <border>
      <left style="thick">
        <color theme="8" tint="-0.499984740745262"/>
      </left>
      <right/>
      <top/>
      <bottom style="thick">
        <color theme="8" tint="-0.499984740745262"/>
      </bottom>
      <diagonal/>
    </border>
    <border>
      <left/>
      <right/>
      <top/>
      <bottom style="thick">
        <color theme="8" tint="-0.499984740745262"/>
      </bottom>
      <diagonal/>
    </border>
    <border>
      <left/>
      <right style="thick">
        <color theme="8" tint="-0.499984740745262"/>
      </right>
      <top/>
      <bottom style="thick">
        <color theme="8" tint="-0.499984740745262"/>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medium">
        <color theme="8" tint="-0.249977111117893"/>
      </left>
      <right/>
      <top/>
      <bottom/>
      <diagonal/>
    </border>
    <border>
      <left/>
      <right style="medium">
        <color theme="8" tint="-0.249977111117893"/>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medium">
        <color indexed="64"/>
      </bottom>
      <diagonal/>
    </border>
  </borders>
  <cellStyleXfs count="136">
    <xf numFmtId="0" fontId="0"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8" fillId="3" borderId="0" applyNumberFormat="0" applyBorder="0" applyAlignment="0" applyProtection="0"/>
    <xf numFmtId="0" fontId="9" fillId="20" borderId="1" applyNumberFormat="0" applyAlignment="0" applyProtection="0"/>
    <xf numFmtId="0" fontId="10" fillId="21" borderId="2" applyNumberFormat="0" applyAlignment="0" applyProtection="0"/>
    <xf numFmtId="0" fontId="11" fillId="0" borderId="0" applyNumberFormat="0" applyFill="0" applyBorder="0" applyAlignment="0" applyProtection="0"/>
    <xf numFmtId="0" fontId="12" fillId="4" borderId="0" applyNumberFormat="0" applyBorder="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16" fillId="7" borderId="1" applyNumberFormat="0" applyAlignment="0" applyProtection="0"/>
    <xf numFmtId="0" fontId="17" fillId="0" borderId="6" applyNumberFormat="0" applyFill="0" applyAlignment="0" applyProtection="0"/>
    <xf numFmtId="0" fontId="18" fillId="22" borderId="0" applyNumberFormat="0" applyBorder="0" applyAlignment="0" applyProtection="0"/>
    <xf numFmtId="0" fontId="19" fillId="23" borderId="7" applyNumberFormat="0" applyFont="0" applyAlignment="0" applyProtection="0"/>
    <xf numFmtId="0" fontId="20" fillId="20" borderId="8" applyNumberFormat="0" applyAlignment="0" applyProtection="0"/>
    <xf numFmtId="9" fontId="5" fillId="0" borderId="0" applyFont="0" applyFill="0" applyBorder="0" applyAlignment="0" applyProtection="0"/>
    <xf numFmtId="0" fontId="21" fillId="0" borderId="0" applyNumberFormat="0" applyFill="0" applyBorder="0" applyAlignment="0" applyProtection="0"/>
    <xf numFmtId="0" fontId="22" fillId="0" borderId="9" applyNumberFormat="0" applyFill="0" applyAlignment="0" applyProtection="0"/>
    <xf numFmtId="0" fontId="23" fillId="0" borderId="0" applyNumberFormat="0" applyFill="0" applyBorder="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16" fillId="7" borderId="1" applyNumberFormat="0" applyAlignment="0" applyProtection="0"/>
    <xf numFmtId="0" fontId="20" fillId="20" borderId="8" applyNumberFormat="0" applyAlignment="0" applyProtection="0"/>
    <xf numFmtId="0" fontId="9" fillId="20" borderId="1" applyNumberFormat="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22" fillId="0" borderId="9" applyNumberFormat="0" applyFill="0" applyAlignment="0" applyProtection="0"/>
    <xf numFmtId="0" fontId="10" fillId="21" borderId="2" applyNumberFormat="0" applyAlignment="0" applyProtection="0"/>
    <xf numFmtId="0" fontId="21" fillId="0" borderId="0" applyNumberFormat="0" applyFill="0" applyBorder="0" applyAlignment="0" applyProtection="0"/>
    <xf numFmtId="0" fontId="18" fillId="22" borderId="0" applyNumberFormat="0" applyBorder="0" applyAlignment="0" applyProtection="0"/>
    <xf numFmtId="0" fontId="8" fillId="3" borderId="0" applyNumberFormat="0" applyBorder="0" applyAlignment="0" applyProtection="0"/>
    <xf numFmtId="0" fontId="11" fillId="0" borderId="0" applyNumberFormat="0" applyFill="0" applyBorder="0" applyAlignment="0" applyProtection="0"/>
    <xf numFmtId="0" fontId="19" fillId="23" borderId="7" applyNumberFormat="0" applyFont="0" applyAlignment="0" applyProtection="0"/>
    <xf numFmtId="0" fontId="17" fillId="0" borderId="6" applyNumberFormat="0" applyFill="0" applyAlignment="0" applyProtection="0"/>
    <xf numFmtId="0" fontId="23" fillId="0" borderId="0" applyNumberFormat="0" applyFill="0" applyBorder="0" applyAlignment="0" applyProtection="0"/>
    <xf numFmtId="0" fontId="12" fillId="4" borderId="0" applyNumberFormat="0" applyBorder="0" applyAlignment="0" applyProtection="0"/>
    <xf numFmtId="0" fontId="48" fillId="0" borderId="0"/>
    <xf numFmtId="0" fontId="49" fillId="0" borderId="0" applyProtection="0"/>
    <xf numFmtId="0" fontId="50" fillId="39" borderId="0" applyNumberFormat="0" applyBorder="0" applyAlignment="0" applyProtection="0"/>
    <xf numFmtId="0" fontId="50" fillId="40" borderId="0" applyNumberFormat="0" applyBorder="0" applyAlignment="0" applyProtection="0"/>
    <xf numFmtId="0" fontId="50" fillId="41" borderId="0" applyNumberFormat="0" applyBorder="0" applyAlignment="0" applyProtection="0"/>
    <xf numFmtId="0" fontId="50" fillId="42" borderId="0" applyNumberFormat="0" applyBorder="0" applyAlignment="0" applyProtection="0"/>
    <xf numFmtId="0" fontId="4" fillId="0" borderId="0"/>
    <xf numFmtId="0" fontId="56" fillId="0" borderId="0" applyProtection="0"/>
    <xf numFmtId="0" fontId="56" fillId="0" borderId="0" applyProtection="0"/>
    <xf numFmtId="0" fontId="19" fillId="0" borderId="0"/>
    <xf numFmtId="0" fontId="3" fillId="0" borderId="0"/>
    <xf numFmtId="0" fontId="22" fillId="0" borderId="9" applyNumberFormat="0" applyFill="0" applyAlignment="0" applyProtection="0"/>
    <xf numFmtId="0" fontId="16" fillId="7" borderId="1" applyNumberFormat="0" applyAlignment="0" applyProtection="0"/>
    <xf numFmtId="0" fontId="20" fillId="20" borderId="8" applyNumberFormat="0" applyAlignment="0" applyProtection="0"/>
    <xf numFmtId="0" fontId="23" fillId="0" borderId="0" applyNumberFormat="0" applyFill="0" applyBorder="0" applyAlignment="0" applyProtection="0"/>
    <xf numFmtId="0" fontId="8" fillId="3" borderId="0" applyNumberFormat="0" applyBorder="0" applyAlignment="0" applyProtection="0"/>
    <xf numFmtId="0" fontId="12" fillId="4" borderId="0" applyNumberFormat="0" applyBorder="0" applyAlignment="0" applyProtection="0"/>
    <xf numFmtId="0" fontId="21" fillId="0" borderId="0" applyNumberFormat="0" applyFill="0" applyBorder="0" applyAlignment="0" applyProtection="0"/>
    <xf numFmtId="0" fontId="11" fillId="0" borderId="0" applyNumberFormat="0" applyFill="0" applyBorder="0" applyAlignment="0" applyProtection="0"/>
    <xf numFmtId="0" fontId="17" fillId="0" borderId="6" applyNumberFormat="0" applyFill="0" applyAlignment="0" applyProtection="0"/>
    <xf numFmtId="0" fontId="13" fillId="0" borderId="3" applyNumberFormat="0" applyFill="0" applyAlignment="0" applyProtection="0"/>
    <xf numFmtId="0" fontId="14" fillId="0" borderId="4" applyNumberFormat="0" applyFill="0" applyAlignment="0" applyProtection="0"/>
    <xf numFmtId="0" fontId="15" fillId="0" borderId="5" applyNumberFormat="0" applyFill="0" applyAlignment="0" applyProtection="0"/>
    <xf numFmtId="0" fontId="15" fillId="0" borderId="0" applyNumberFormat="0" applyFill="0" applyBorder="0" applyAlignment="0" applyProtection="0"/>
    <xf numFmtId="0" fontId="19" fillId="23" borderId="7" applyNumberFormat="0" applyFont="0" applyAlignment="0" applyProtection="0"/>
    <xf numFmtId="0" fontId="18" fillId="22" borderId="0" applyNumberFormat="0" applyBorder="0" applyAlignment="0" applyProtection="0"/>
    <xf numFmtId="0" fontId="10" fillId="21" borderId="2" applyNumberFormat="0" applyAlignment="0" applyProtection="0"/>
    <xf numFmtId="0" fontId="7" fillId="16"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7" borderId="0" applyNumberFormat="0" applyBorder="0" applyAlignment="0" applyProtection="0"/>
    <xf numFmtId="0" fontId="6" fillId="8" borderId="0" applyNumberFormat="0" applyBorder="0" applyAlignment="0" applyProtection="0"/>
    <xf numFmtId="0" fontId="6" fillId="9" borderId="0" applyNumberFormat="0" applyBorder="0" applyAlignment="0" applyProtection="0"/>
    <xf numFmtId="0" fontId="6" fillId="10" borderId="0" applyNumberFormat="0" applyBorder="0" applyAlignment="0" applyProtection="0"/>
    <xf numFmtId="0" fontId="6" fillId="5" borderId="0" applyNumberFormat="0" applyBorder="0" applyAlignment="0" applyProtection="0"/>
    <xf numFmtId="0" fontId="6" fillId="8" borderId="0" applyNumberFormat="0" applyBorder="0" applyAlignment="0" applyProtection="0"/>
    <xf numFmtId="0" fontId="6" fillId="11"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5" borderId="0" applyNumberFormat="0" applyBorder="0" applyAlignment="0" applyProtection="0"/>
    <xf numFmtId="0" fontId="6" fillId="0" borderId="0"/>
  </cellStyleXfs>
  <cellXfs count="381">
    <xf numFmtId="0" fontId="0" fillId="0" borderId="0" xfId="0"/>
    <xf numFmtId="0" fontId="0" fillId="25" borderId="0" xfId="0" applyFill="1"/>
    <xf numFmtId="0" fontId="25" fillId="26" borderId="0" xfId="0" applyFont="1" applyFill="1" applyAlignment="1">
      <alignment horizontal="center"/>
    </xf>
    <xf numFmtId="0" fontId="19" fillId="26" borderId="0" xfId="0" applyFont="1" applyFill="1"/>
    <xf numFmtId="0" fontId="19" fillId="0" borderId="0" xfId="0" applyFont="1"/>
    <xf numFmtId="0" fontId="19" fillId="27" borderId="0" xfId="0" applyFont="1" applyFill="1"/>
    <xf numFmtId="0" fontId="27" fillId="27" borderId="0" xfId="0" applyFont="1" applyFill="1" applyAlignment="1">
      <alignment horizontal="centerContinuous"/>
    </xf>
    <xf numFmtId="0" fontId="19" fillId="27" borderId="0" xfId="0" applyFont="1" applyFill="1" applyAlignment="1">
      <alignment horizontal="centerContinuous"/>
    </xf>
    <xf numFmtId="0" fontId="25" fillId="27" borderId="0" xfId="0" applyFont="1" applyFill="1" applyAlignment="1">
      <alignment horizontal="centerContinuous"/>
    </xf>
    <xf numFmtId="0" fontId="25" fillId="27" borderId="0" xfId="0" applyFont="1" applyFill="1" applyAlignment="1">
      <alignment horizontal="center"/>
    </xf>
    <xf numFmtId="0" fontId="0" fillId="26" borderId="0" xfId="0" applyFill="1"/>
    <xf numFmtId="0" fontId="32" fillId="26" borderId="0" xfId="0" applyFont="1" applyFill="1"/>
    <xf numFmtId="166" fontId="25" fillId="30" borderId="0" xfId="0" applyNumberFormat="1" applyFont="1" applyFill="1"/>
    <xf numFmtId="0" fontId="25" fillId="30" borderId="0" xfId="0" applyFont="1" applyFill="1" applyAlignment="1">
      <alignment horizontal="center"/>
    </xf>
    <xf numFmtId="165" fontId="25" fillId="30" borderId="0" xfId="0" applyNumberFormat="1" applyFont="1" applyFill="1"/>
    <xf numFmtId="0" fontId="25" fillId="30" borderId="13" xfId="0" applyFont="1" applyFill="1" applyBorder="1" applyAlignment="1">
      <alignment horizontal="center"/>
    </xf>
    <xf numFmtId="167" fontId="25" fillId="30" borderId="0" xfId="57" applyNumberFormat="1" applyFont="1" applyFill="1"/>
    <xf numFmtId="0" fontId="25" fillId="30" borderId="15" xfId="0" applyFont="1" applyFill="1" applyBorder="1" applyAlignment="1">
      <alignment horizontal="center"/>
    </xf>
    <xf numFmtId="0" fontId="25" fillId="30" borderId="16" xfId="0" applyFont="1" applyFill="1" applyBorder="1" applyAlignment="1">
      <alignment horizontal="center"/>
    </xf>
    <xf numFmtId="0" fontId="29" fillId="30" borderId="12" xfId="0" applyFont="1" applyFill="1" applyBorder="1"/>
    <xf numFmtId="10" fontId="25" fillId="30" borderId="0" xfId="57" applyNumberFormat="1" applyFont="1" applyFill="1"/>
    <xf numFmtId="166" fontId="25" fillId="32" borderId="0" xfId="0" applyNumberFormat="1" applyFont="1" applyFill="1"/>
    <xf numFmtId="0" fontId="25" fillId="32" borderId="0" xfId="0" applyFont="1" applyFill="1" applyAlignment="1">
      <alignment horizontal="center"/>
    </xf>
    <xf numFmtId="0" fontId="19" fillId="32" borderId="0" xfId="0" applyFont="1" applyFill="1"/>
    <xf numFmtId="165" fontId="25" fillId="32" borderId="0" xfId="0" applyNumberFormat="1" applyFont="1" applyFill="1"/>
    <xf numFmtId="2" fontId="25" fillId="32" borderId="0" xfId="0" applyNumberFormat="1" applyFont="1" applyFill="1"/>
    <xf numFmtId="167" fontId="25" fillId="32" borderId="0" xfId="57" applyNumberFormat="1" applyFont="1" applyFill="1"/>
    <xf numFmtId="10" fontId="25" fillId="32" borderId="0" xfId="57" applyNumberFormat="1" applyFont="1" applyFill="1"/>
    <xf numFmtId="0" fontId="19" fillId="32" borderId="23" xfId="0" applyFont="1" applyFill="1" applyBorder="1"/>
    <xf numFmtId="0" fontId="25" fillId="32" borderId="24" xfId="0" applyFont="1" applyFill="1" applyBorder="1" applyAlignment="1">
      <alignment horizontal="center"/>
    </xf>
    <xf numFmtId="0" fontId="0" fillId="32" borderId="23" xfId="0" applyFill="1" applyBorder="1"/>
    <xf numFmtId="0" fontId="19" fillId="32" borderId="25" xfId="0" applyFont="1" applyFill="1" applyBorder="1"/>
    <xf numFmtId="0" fontId="19" fillId="32" borderId="26" xfId="0" applyFont="1" applyFill="1" applyBorder="1"/>
    <xf numFmtId="0" fontId="25" fillId="32" borderId="26" xfId="0" applyFont="1" applyFill="1" applyBorder="1" applyAlignment="1">
      <alignment horizontal="center"/>
    </xf>
    <xf numFmtId="0" fontId="25" fillId="32" borderId="27" xfId="0" applyFont="1" applyFill="1" applyBorder="1" applyAlignment="1">
      <alignment horizontal="center"/>
    </xf>
    <xf numFmtId="0" fontId="25" fillId="32" borderId="28" xfId="0" applyFont="1" applyFill="1" applyBorder="1"/>
    <xf numFmtId="165" fontId="25" fillId="32" borderId="29" xfId="0" applyNumberFormat="1" applyFont="1" applyFill="1" applyBorder="1"/>
    <xf numFmtId="0" fontId="25" fillId="32" borderId="30" xfId="0" applyFont="1" applyFill="1" applyBorder="1" applyAlignment="1">
      <alignment horizontal="right"/>
    </xf>
    <xf numFmtId="0" fontId="25" fillId="32" borderId="31" xfId="0" applyFont="1" applyFill="1" applyBorder="1"/>
    <xf numFmtId="0" fontId="25" fillId="32" borderId="32" xfId="0" applyFont="1" applyFill="1" applyBorder="1" applyAlignment="1">
      <alignment horizontal="right"/>
    </xf>
    <xf numFmtId="165" fontId="25" fillId="32" borderId="0" xfId="57" applyNumberFormat="1" applyFont="1" applyFill="1"/>
    <xf numFmtId="0" fontId="19" fillId="32" borderId="24" xfId="0" applyFont="1" applyFill="1" applyBorder="1"/>
    <xf numFmtId="166" fontId="26" fillId="32" borderId="26" xfId="0" applyNumberFormat="1" applyFont="1" applyFill="1" applyBorder="1" applyProtection="1">
      <protection locked="0"/>
    </xf>
    <xf numFmtId="167" fontId="25" fillId="32" borderId="26" xfId="57" applyNumberFormat="1" applyFont="1" applyFill="1" applyBorder="1"/>
    <xf numFmtId="2" fontId="25" fillId="32" borderId="26" xfId="0" applyNumberFormat="1" applyFont="1" applyFill="1" applyBorder="1"/>
    <xf numFmtId="2" fontId="25" fillId="32" borderId="29" xfId="0" applyNumberFormat="1" applyFont="1" applyFill="1" applyBorder="1"/>
    <xf numFmtId="2" fontId="25" fillId="32" borderId="11" xfId="0" applyNumberFormat="1" applyFont="1" applyFill="1" applyBorder="1"/>
    <xf numFmtId="165" fontId="25" fillId="34" borderId="0" xfId="0" applyNumberFormat="1" applyFont="1" applyFill="1"/>
    <xf numFmtId="0" fontId="25" fillId="34" borderId="0" xfId="0" applyFont="1" applyFill="1" applyAlignment="1">
      <alignment horizontal="center"/>
    </xf>
    <xf numFmtId="0" fontId="25" fillId="34" borderId="13" xfId="0" applyFont="1" applyFill="1" applyBorder="1" applyAlignment="1">
      <alignment horizontal="center"/>
    </xf>
    <xf numFmtId="0" fontId="0" fillId="34" borderId="12" xfId="0" applyFill="1" applyBorder="1"/>
    <xf numFmtId="0" fontId="0" fillId="34" borderId="0" xfId="0" applyFill="1"/>
    <xf numFmtId="0" fontId="0" fillId="27" borderId="0" xfId="0" applyFill="1"/>
    <xf numFmtId="0" fontId="25" fillId="27" borderId="0" xfId="0" applyFont="1" applyFill="1" applyAlignment="1">
      <alignment horizontal="right"/>
    </xf>
    <xf numFmtId="0" fontId="0" fillId="32" borderId="0" xfId="0" applyFill="1"/>
    <xf numFmtId="0" fontId="0" fillId="32" borderId="25" xfId="0" applyFill="1" applyBorder="1"/>
    <xf numFmtId="0" fontId="0" fillId="32" borderId="26" xfId="0" applyFill="1" applyBorder="1"/>
    <xf numFmtId="0" fontId="0" fillId="30" borderId="0" xfId="0" applyFill="1"/>
    <xf numFmtId="0" fontId="0" fillId="30" borderId="13" xfId="0" applyFill="1" applyBorder="1"/>
    <xf numFmtId="0" fontId="0" fillId="30" borderId="12" xfId="0" applyFill="1" applyBorder="1"/>
    <xf numFmtId="0" fontId="0" fillId="30" borderId="14" xfId="0" applyFill="1" applyBorder="1"/>
    <xf numFmtId="0" fontId="0" fillId="30" borderId="15" xfId="0" applyFill="1" applyBorder="1"/>
    <xf numFmtId="0" fontId="25" fillId="30" borderId="12" xfId="0" applyFont="1" applyFill="1" applyBorder="1" applyAlignment="1">
      <alignment horizontal="center" vertical="center"/>
    </xf>
    <xf numFmtId="0" fontId="0" fillId="30" borderId="0" xfId="0" applyFill="1" applyAlignment="1">
      <alignment horizontal="center" vertical="center"/>
    </xf>
    <xf numFmtId="0" fontId="0" fillId="30" borderId="13" xfId="0" applyFill="1" applyBorder="1" applyAlignment="1">
      <alignment horizontal="center" vertical="center"/>
    </xf>
    <xf numFmtId="0" fontId="19" fillId="36" borderId="23" xfId="0" applyFont="1" applyFill="1" applyBorder="1"/>
    <xf numFmtId="0" fontId="0" fillId="36" borderId="0" xfId="0" applyFill="1"/>
    <xf numFmtId="0" fontId="25" fillId="36" borderId="0" xfId="0" applyFont="1" applyFill="1"/>
    <xf numFmtId="0" fontId="25" fillId="36" borderId="0" xfId="0" applyFont="1" applyFill="1" applyAlignment="1">
      <alignment horizontal="center"/>
    </xf>
    <xf numFmtId="0" fontId="19" fillId="36" borderId="0" xfId="0" applyFont="1" applyFill="1"/>
    <xf numFmtId="0" fontId="25" fillId="36" borderId="24" xfId="0" applyFont="1" applyFill="1" applyBorder="1" applyAlignment="1">
      <alignment horizontal="center"/>
    </xf>
    <xf numFmtId="0" fontId="19" fillId="36" borderId="10" xfId="0" applyFont="1" applyFill="1" applyBorder="1"/>
    <xf numFmtId="166" fontId="26" fillId="36" borderId="10" xfId="0" applyNumberFormat="1" applyFont="1" applyFill="1" applyBorder="1" applyProtection="1">
      <protection locked="0"/>
    </xf>
    <xf numFmtId="166" fontId="31" fillId="36" borderId="10" xfId="0" applyNumberFormat="1" applyFont="1" applyFill="1" applyBorder="1" applyProtection="1">
      <protection locked="0"/>
    </xf>
    <xf numFmtId="0" fontId="0" fillId="36" borderId="23" xfId="0" applyFill="1" applyBorder="1"/>
    <xf numFmtId="10" fontId="26" fillId="36" borderId="10" xfId="0" applyNumberFormat="1" applyFont="1" applyFill="1" applyBorder="1" applyProtection="1">
      <protection locked="0"/>
    </xf>
    <xf numFmtId="0" fontId="19" fillId="38" borderId="0" xfId="0" applyFont="1" applyFill="1"/>
    <xf numFmtId="0" fontId="36" fillId="38" borderId="0" xfId="0" applyFont="1" applyFill="1"/>
    <xf numFmtId="0" fontId="32" fillId="38" borderId="0" xfId="0" applyFont="1" applyFill="1"/>
    <xf numFmtId="0" fontId="33" fillId="38" borderId="0" xfId="0" applyFont="1" applyFill="1"/>
    <xf numFmtId="0" fontId="33" fillId="38" borderId="0" xfId="0" applyFont="1" applyFill="1" applyAlignment="1">
      <alignment horizontal="right"/>
    </xf>
    <xf numFmtId="0" fontId="7" fillId="16" borderId="0" xfId="37"/>
    <xf numFmtId="0" fontId="25" fillId="38" borderId="0" xfId="0" applyFont="1" applyFill="1" applyAlignment="1">
      <alignment horizontal="center"/>
    </xf>
    <xf numFmtId="0" fontId="37" fillId="38" borderId="0" xfId="0" applyFont="1" applyFill="1" applyAlignment="1">
      <alignment horizontal="center"/>
    </xf>
    <xf numFmtId="0" fontId="0" fillId="32" borderId="33" xfId="0" applyFill="1" applyBorder="1"/>
    <xf numFmtId="0" fontId="0" fillId="32" borderId="34" xfId="0" applyFill="1" applyBorder="1"/>
    <xf numFmtId="0" fontId="0" fillId="32" borderId="35" xfId="0" applyFill="1" applyBorder="1"/>
    <xf numFmtId="0" fontId="0" fillId="32" borderId="36" xfId="0" applyFill="1" applyBorder="1"/>
    <xf numFmtId="0" fontId="0" fillId="32" borderId="37" xfId="0" applyFill="1" applyBorder="1"/>
    <xf numFmtId="0" fontId="0" fillId="32" borderId="38" xfId="0" applyFill="1" applyBorder="1"/>
    <xf numFmtId="0" fontId="0" fillId="32" borderId="39" xfId="0" applyFill="1" applyBorder="1"/>
    <xf numFmtId="0" fontId="0" fillId="32" borderId="40" xfId="0" applyFill="1" applyBorder="1"/>
    <xf numFmtId="0" fontId="39" fillId="0" borderId="0" xfId="0" applyFont="1"/>
    <xf numFmtId="0" fontId="39" fillId="0" borderId="0" xfId="0" applyFont="1" applyAlignment="1">
      <alignment horizontal="center"/>
    </xf>
    <xf numFmtId="10" fontId="40" fillId="0" borderId="0" xfId="57" applyNumberFormat="1" applyFont="1" applyProtection="1">
      <protection locked="0"/>
    </xf>
    <xf numFmtId="0" fontId="40" fillId="0" borderId="0" xfId="57" applyNumberFormat="1" applyFont="1" applyProtection="1">
      <protection locked="0"/>
    </xf>
    <xf numFmtId="0" fontId="39" fillId="0" borderId="41" xfId="0" applyFont="1" applyBorder="1"/>
    <xf numFmtId="0" fontId="39" fillId="0" borderId="42" xfId="0" applyFont="1" applyBorder="1"/>
    <xf numFmtId="0" fontId="39" fillId="0" borderId="43" xfId="0" applyFont="1" applyBorder="1"/>
    <xf numFmtId="0" fontId="39" fillId="0" borderId="44" xfId="0" applyFont="1" applyBorder="1"/>
    <xf numFmtId="9" fontId="39" fillId="0" borderId="41" xfId="57" applyFont="1" applyBorder="1"/>
    <xf numFmtId="0" fontId="39" fillId="0" borderId="45" xfId="0" applyFont="1" applyBorder="1"/>
    <xf numFmtId="9" fontId="39" fillId="0" borderId="43" xfId="57" applyFont="1" applyBorder="1"/>
    <xf numFmtId="0" fontId="39" fillId="0" borderId="46" xfId="0" applyFont="1" applyBorder="1"/>
    <xf numFmtId="0" fontId="39" fillId="0" borderId="47" xfId="0" applyFont="1" applyBorder="1"/>
    <xf numFmtId="0" fontId="39" fillId="37" borderId="47" xfId="0" applyFont="1" applyFill="1" applyBorder="1"/>
    <xf numFmtId="0" fontId="41" fillId="37" borderId="48" xfId="0" applyFont="1" applyFill="1" applyBorder="1"/>
    <xf numFmtId="167" fontId="42" fillId="0" borderId="41" xfId="0" applyNumberFormat="1" applyFont="1" applyBorder="1"/>
    <xf numFmtId="167" fontId="42" fillId="0" borderId="45" xfId="57" applyNumberFormat="1" applyFont="1" applyBorder="1"/>
    <xf numFmtId="10" fontId="42" fillId="0" borderId="45" xfId="57" applyNumberFormat="1" applyFont="1" applyBorder="1"/>
    <xf numFmtId="0" fontId="42" fillId="0" borderId="45" xfId="0" applyFont="1" applyBorder="1"/>
    <xf numFmtId="0" fontId="42" fillId="0" borderId="42" xfId="0" applyFont="1" applyBorder="1"/>
    <xf numFmtId="167" fontId="42" fillId="0" borderId="43" xfId="0" applyNumberFormat="1" applyFont="1" applyBorder="1"/>
    <xf numFmtId="167" fontId="42" fillId="0" borderId="0" xfId="57" applyNumberFormat="1" applyFont="1"/>
    <xf numFmtId="10" fontId="42" fillId="0" borderId="0" xfId="57" applyNumberFormat="1" applyFont="1"/>
    <xf numFmtId="0" fontId="42" fillId="0" borderId="0" xfId="0" applyFont="1"/>
    <xf numFmtId="0" fontId="42" fillId="0" borderId="44" xfId="0" applyFont="1" applyBorder="1"/>
    <xf numFmtId="167" fontId="43" fillId="0" borderId="0" xfId="57" applyNumberFormat="1" applyFont="1"/>
    <xf numFmtId="10" fontId="42" fillId="0" borderId="44" xfId="0" applyNumberFormat="1" applyFont="1" applyBorder="1"/>
    <xf numFmtId="10" fontId="43" fillId="0" borderId="0" xfId="57" applyNumberFormat="1" applyFont="1"/>
    <xf numFmtId="167" fontId="44" fillId="0" borderId="43" xfId="57" applyNumberFormat="1" applyFont="1" applyBorder="1"/>
    <xf numFmtId="167" fontId="44" fillId="0" borderId="0" xfId="57" applyNumberFormat="1" applyFont="1"/>
    <xf numFmtId="10" fontId="44" fillId="0" borderId="0" xfId="57" applyNumberFormat="1" applyFont="1"/>
    <xf numFmtId="0" fontId="42" fillId="0" borderId="43" xfId="0" applyFont="1" applyBorder="1" applyAlignment="1">
      <alignment horizontal="center"/>
    </xf>
    <xf numFmtId="0" fontId="42" fillId="0" borderId="0" xfId="0" applyFont="1" applyAlignment="1">
      <alignment horizontal="center"/>
    </xf>
    <xf numFmtId="0" fontId="44" fillId="37" borderId="48" xfId="0" applyFont="1" applyFill="1" applyBorder="1"/>
    <xf numFmtId="0" fontId="42" fillId="0" borderId="46" xfId="0" applyFont="1" applyBorder="1" applyAlignment="1">
      <alignment horizontal="center"/>
    </xf>
    <xf numFmtId="0" fontId="42" fillId="0" borderId="47" xfId="0" applyFont="1" applyBorder="1" applyAlignment="1">
      <alignment horizontal="center"/>
    </xf>
    <xf numFmtId="0" fontId="39" fillId="0" borderId="48" xfId="0" applyFont="1" applyBorder="1"/>
    <xf numFmtId="167" fontId="42" fillId="0" borderId="45" xfId="57" applyNumberFormat="1" applyFont="1" applyBorder="1" applyAlignment="1">
      <alignment horizontal="center"/>
    </xf>
    <xf numFmtId="0" fontId="42" fillId="0" borderId="45" xfId="0" applyFont="1" applyBorder="1" applyAlignment="1">
      <alignment horizontal="center"/>
    </xf>
    <xf numFmtId="0" fontId="42" fillId="0" borderId="42" xfId="0" applyFont="1" applyBorder="1" applyAlignment="1">
      <alignment horizontal="center"/>
    </xf>
    <xf numFmtId="167" fontId="42" fillId="0" borderId="0" xfId="57" applyNumberFormat="1" applyFont="1" applyAlignment="1">
      <alignment horizontal="center"/>
    </xf>
    <xf numFmtId="0" fontId="42" fillId="0" borderId="44" xfId="0" applyFont="1" applyBorder="1" applyAlignment="1">
      <alignment horizontal="center"/>
    </xf>
    <xf numFmtId="0" fontId="42" fillId="0" borderId="43" xfId="0" applyFont="1" applyBorder="1"/>
    <xf numFmtId="0" fontId="42" fillId="24" borderId="49" xfId="0" applyFont="1" applyFill="1" applyBorder="1"/>
    <xf numFmtId="166" fontId="39" fillId="0" borderId="41" xfId="0" applyNumberFormat="1" applyFont="1" applyBorder="1"/>
    <xf numFmtId="166" fontId="39" fillId="0" borderId="45" xfId="0" applyNumberFormat="1" applyFont="1" applyBorder="1"/>
    <xf numFmtId="166" fontId="39" fillId="0" borderId="43" xfId="0" applyNumberFormat="1" applyFont="1" applyBorder="1"/>
    <xf numFmtId="166" fontId="39" fillId="0" borderId="0" xfId="0" applyNumberFormat="1" applyFont="1"/>
    <xf numFmtId="0" fontId="39" fillId="0" borderId="44" xfId="0" applyFont="1" applyBorder="1" applyAlignment="1">
      <alignment horizontal="center"/>
    </xf>
    <xf numFmtId="0" fontId="39" fillId="0" borderId="43" xfId="0" applyFont="1" applyBorder="1" applyAlignment="1">
      <alignment horizontal="center"/>
    </xf>
    <xf numFmtId="0" fontId="39" fillId="0" borderId="46" xfId="0" applyFont="1" applyBorder="1" applyAlignment="1">
      <alignment horizontal="center"/>
    </xf>
    <xf numFmtId="0" fontId="39" fillId="0" borderId="47" xfId="0" applyFont="1" applyBorder="1" applyAlignment="1">
      <alignment horizontal="center"/>
    </xf>
    <xf numFmtId="0" fontId="39" fillId="0" borderId="48" xfId="0" applyFont="1" applyBorder="1" applyAlignment="1">
      <alignment horizontal="center"/>
    </xf>
    <xf numFmtId="0" fontId="39" fillId="0" borderId="0" xfId="0" applyFont="1" applyAlignment="1">
      <alignment horizontal="centerContinuous"/>
    </xf>
    <xf numFmtId="0" fontId="39" fillId="0" borderId="43" xfId="0" applyFont="1" applyBorder="1" applyAlignment="1">
      <alignment horizontal="centerContinuous"/>
    </xf>
    <xf numFmtId="0" fontId="39" fillId="0" borderId="44" xfId="0" applyFont="1" applyBorder="1" applyAlignment="1">
      <alignment horizontal="centerContinuous"/>
    </xf>
    <xf numFmtId="0" fontId="41" fillId="0" borderId="0" xfId="0" applyFont="1" applyAlignment="1">
      <alignment horizontal="centerContinuous"/>
    </xf>
    <xf numFmtId="0" fontId="41" fillId="0" borderId="46" xfId="0" applyFont="1" applyBorder="1" applyAlignment="1">
      <alignment horizontal="centerContinuous"/>
    </xf>
    <xf numFmtId="0" fontId="41" fillId="0" borderId="47" xfId="0" applyFont="1" applyBorder="1" applyAlignment="1">
      <alignment horizontal="centerContinuous"/>
    </xf>
    <xf numFmtId="0" fontId="41" fillId="37" borderId="47" xfId="0" applyFont="1" applyFill="1" applyBorder="1" applyAlignment="1">
      <alignment horizontal="centerContinuous"/>
    </xf>
    <xf numFmtId="0" fontId="41" fillId="37" borderId="48" xfId="0" applyFont="1" applyFill="1" applyBorder="1" applyAlignment="1">
      <alignment horizontal="left"/>
    </xf>
    <xf numFmtId="0" fontId="39" fillId="0" borderId="45" xfId="0" quotePrefix="1" applyFont="1" applyBorder="1" applyAlignment="1">
      <alignment horizontal="center"/>
    </xf>
    <xf numFmtId="0" fontId="39" fillId="0" borderId="0" xfId="0" quotePrefix="1" applyFont="1" applyAlignment="1">
      <alignment horizontal="center"/>
    </xf>
    <xf numFmtId="0" fontId="39" fillId="0" borderId="46" xfId="0" applyFont="1" applyBorder="1" applyAlignment="1">
      <alignment horizontal="centerContinuous"/>
    </xf>
    <xf numFmtId="0" fontId="39" fillId="0" borderId="47" xfId="0" applyFont="1" applyBorder="1" applyAlignment="1">
      <alignment horizontal="centerContinuous"/>
    </xf>
    <xf numFmtId="0" fontId="39" fillId="37" borderId="47" xfId="0" applyFont="1" applyFill="1" applyBorder="1" applyAlignment="1">
      <alignment horizontal="centerContinuous"/>
    </xf>
    <xf numFmtId="2" fontId="42" fillId="0" borderId="0" xfId="0" applyNumberFormat="1" applyFont="1" applyAlignment="1">
      <alignment horizontal="left" indent="1"/>
    </xf>
    <xf numFmtId="11" fontId="39" fillId="0" borderId="0" xfId="0" applyNumberFormat="1" applyFont="1"/>
    <xf numFmtId="165" fontId="39" fillId="0" borderId="41" xfId="0" applyNumberFormat="1" applyFont="1" applyBorder="1"/>
    <xf numFmtId="165" fontId="39" fillId="0" borderId="45" xfId="0" applyNumberFormat="1" applyFont="1" applyBorder="1"/>
    <xf numFmtId="167" fontId="39" fillId="0" borderId="45" xfId="57" applyNumberFormat="1" applyFont="1" applyBorder="1"/>
    <xf numFmtId="165" fontId="39" fillId="0" borderId="43" xfId="0" applyNumberFormat="1" applyFont="1" applyBorder="1"/>
    <xf numFmtId="165" fontId="39" fillId="0" borderId="0" xfId="0" applyNumberFormat="1" applyFont="1"/>
    <xf numFmtId="167" fontId="39" fillId="0" borderId="0" xfId="57" applyNumberFormat="1" applyFont="1"/>
    <xf numFmtId="11" fontId="39" fillId="0" borderId="43" xfId="0" applyNumberFormat="1" applyFont="1" applyBorder="1"/>
    <xf numFmtId="11" fontId="39" fillId="0" borderId="46" xfId="0" applyNumberFormat="1" applyFont="1" applyBorder="1"/>
    <xf numFmtId="10" fontId="39" fillId="0" borderId="41" xfId="57" applyNumberFormat="1" applyFont="1" applyBorder="1"/>
    <xf numFmtId="10" fontId="39" fillId="0" borderId="45" xfId="57" applyNumberFormat="1" applyFont="1" applyBorder="1"/>
    <xf numFmtId="10" fontId="39" fillId="0" borderId="43" xfId="57" applyNumberFormat="1" applyFont="1" applyBorder="1"/>
    <xf numFmtId="10" fontId="39" fillId="0" borderId="0" xfId="57" applyNumberFormat="1" applyFont="1"/>
    <xf numFmtId="0" fontId="39" fillId="0" borderId="52" xfId="0" applyFont="1" applyBorder="1" applyAlignment="1">
      <alignment horizontal="center"/>
    </xf>
    <xf numFmtId="0" fontId="39" fillId="0" borderId="53" xfId="0" applyFont="1" applyBorder="1"/>
    <xf numFmtId="0" fontId="41" fillId="0" borderId="54" xfId="0" applyFont="1" applyBorder="1"/>
    <xf numFmtId="0" fontId="39" fillId="0" borderId="41" xfId="0" applyFont="1" applyBorder="1" applyAlignment="1">
      <alignment horizontal="center"/>
    </xf>
    <xf numFmtId="0" fontId="41" fillId="0" borderId="42" xfId="0" applyFont="1" applyBorder="1"/>
    <xf numFmtId="164" fontId="39" fillId="0" borderId="0" xfId="0" applyNumberFormat="1" applyFont="1"/>
    <xf numFmtId="0" fontId="41" fillId="0" borderId="44" xfId="0" applyFont="1" applyBorder="1"/>
    <xf numFmtId="168" fontId="39" fillId="0" borderId="0" xfId="0" applyNumberFormat="1" applyFont="1"/>
    <xf numFmtId="2" fontId="39" fillId="0" borderId="0" xfId="0" applyNumberFormat="1" applyFont="1"/>
    <xf numFmtId="11" fontId="39" fillId="0" borderId="45" xfId="0" applyNumberFormat="1" applyFont="1" applyBorder="1"/>
    <xf numFmtId="11" fontId="39" fillId="0" borderId="42" xfId="0" applyNumberFormat="1" applyFont="1" applyBorder="1"/>
    <xf numFmtId="169" fontId="39" fillId="0" borderId="0" xfId="0" applyNumberFormat="1" applyFont="1"/>
    <xf numFmtId="11" fontId="39" fillId="0" borderId="44" xfId="0" applyNumberFormat="1" applyFont="1" applyBorder="1"/>
    <xf numFmtId="168" fontId="39" fillId="0" borderId="47" xfId="0" applyNumberFormat="1" applyFont="1" applyBorder="1"/>
    <xf numFmtId="0" fontId="41" fillId="0" borderId="48" xfId="0" applyFont="1" applyBorder="1"/>
    <xf numFmtId="169" fontId="39" fillId="0" borderId="45" xfId="0" applyNumberFormat="1" applyFont="1" applyBorder="1"/>
    <xf numFmtId="0" fontId="45" fillId="0" borderId="0" xfId="0" applyFont="1" applyAlignment="1">
      <alignment horizontal="centerContinuous"/>
    </xf>
    <xf numFmtId="0" fontId="45" fillId="0" borderId="44" xfId="0" applyFont="1" applyBorder="1" applyAlignment="1">
      <alignment horizontal="centerContinuous"/>
    </xf>
    <xf numFmtId="0" fontId="45" fillId="0" borderId="43" xfId="0" applyFont="1" applyBorder="1" applyAlignment="1">
      <alignment horizontal="centerContinuous"/>
    </xf>
    <xf numFmtId="0" fontId="45" fillId="0" borderId="0" xfId="0" applyFont="1" applyAlignment="1">
      <alignment horizontal="center"/>
    </xf>
    <xf numFmtId="0" fontId="45" fillId="0" borderId="44" xfId="0" applyFont="1" applyBorder="1" applyAlignment="1">
      <alignment horizontal="center"/>
    </xf>
    <xf numFmtId="164" fontId="39" fillId="0" borderId="45" xfId="0" applyNumberFormat="1" applyFont="1" applyBorder="1"/>
    <xf numFmtId="11" fontId="39" fillId="0" borderId="47" xfId="0" applyNumberFormat="1" applyFont="1" applyBorder="1" applyAlignment="1">
      <alignment horizontal="centerContinuous"/>
    </xf>
    <xf numFmtId="0" fontId="39" fillId="0" borderId="48" xfId="0" applyFont="1" applyBorder="1" applyAlignment="1">
      <alignment horizontal="centerContinuous"/>
    </xf>
    <xf numFmtId="0" fontId="40" fillId="0" borderId="47" xfId="0" applyFont="1" applyBorder="1" applyAlignment="1">
      <alignment horizontal="centerContinuous"/>
    </xf>
    <xf numFmtId="0" fontId="41" fillId="37" borderId="10" xfId="0" applyFont="1" applyFill="1" applyBorder="1" applyAlignment="1">
      <alignment horizontal="left"/>
    </xf>
    <xf numFmtId="0" fontId="41" fillId="0" borderId="0" xfId="0" applyFont="1" applyAlignment="1">
      <alignment horizontal="left"/>
    </xf>
    <xf numFmtId="164" fontId="39" fillId="0" borderId="47" xfId="0" applyNumberFormat="1" applyFont="1" applyBorder="1"/>
    <xf numFmtId="0" fontId="0" fillId="38" borderId="0" xfId="0" applyFill="1"/>
    <xf numFmtId="0" fontId="25" fillId="36" borderId="0" xfId="0" applyFont="1" applyFill="1" applyAlignment="1">
      <alignment horizontal="right"/>
    </xf>
    <xf numFmtId="10" fontId="39" fillId="0" borderId="0" xfId="0" applyNumberFormat="1" applyFont="1"/>
    <xf numFmtId="0" fontId="25" fillId="32" borderId="0" xfId="0" applyFont="1" applyFill="1" applyAlignment="1" applyProtection="1">
      <alignment horizontal="right"/>
      <protection locked="0"/>
    </xf>
    <xf numFmtId="0" fontId="41" fillId="37" borderId="10" xfId="0" applyFont="1" applyFill="1" applyBorder="1"/>
    <xf numFmtId="0" fontId="39" fillId="0" borderId="55" xfId="0" applyFont="1" applyBorder="1" applyAlignment="1">
      <alignment horizontal="center"/>
    </xf>
    <xf numFmtId="0" fontId="39" fillId="0" borderId="56" xfId="0" applyFont="1" applyBorder="1" applyAlignment="1">
      <alignment horizontal="center"/>
    </xf>
    <xf numFmtId="0" fontId="39" fillId="0" borderId="57" xfId="0" applyFont="1" applyBorder="1" applyAlignment="1">
      <alignment horizontal="left"/>
    </xf>
    <xf numFmtId="0" fontId="39" fillId="0" borderId="59" xfId="0" applyFont="1" applyBorder="1" applyAlignment="1">
      <alignment horizontal="left"/>
    </xf>
    <xf numFmtId="0" fontId="39" fillId="0" borderId="60" xfId="0" applyFont="1" applyBorder="1" applyAlignment="1">
      <alignment horizontal="center"/>
    </xf>
    <xf numFmtId="11" fontId="39" fillId="0" borderId="58" xfId="0" applyNumberFormat="1" applyFont="1" applyBorder="1"/>
    <xf numFmtId="0" fontId="39" fillId="0" borderId="58" xfId="0" applyFont="1" applyBorder="1"/>
    <xf numFmtId="0" fontId="39" fillId="0" borderId="60" xfId="0" applyFont="1" applyBorder="1"/>
    <xf numFmtId="0" fontId="39" fillId="0" borderId="61" xfId="0" applyFont="1" applyBorder="1"/>
    <xf numFmtId="0" fontId="25" fillId="36" borderId="24" xfId="0" applyFont="1" applyFill="1" applyBorder="1" applyAlignment="1">
      <alignment horizontal="left"/>
    </xf>
    <xf numFmtId="0" fontId="25" fillId="32" borderId="62" xfId="0" applyFont="1" applyFill="1" applyBorder="1"/>
    <xf numFmtId="0" fontId="25" fillId="32" borderId="63" xfId="0" applyFont="1" applyFill="1" applyBorder="1" applyAlignment="1">
      <alignment horizontal="right"/>
    </xf>
    <xf numFmtId="0" fontId="36" fillId="26" borderId="0" xfId="0" applyFont="1" applyFill="1"/>
    <xf numFmtId="0" fontId="25" fillId="32" borderId="11" xfId="0" applyFont="1" applyFill="1" applyBorder="1"/>
    <xf numFmtId="0" fontId="0" fillId="34" borderId="14" xfId="0" applyFill="1" applyBorder="1"/>
    <xf numFmtId="0" fontId="0" fillId="34" borderId="15" xfId="0" applyFill="1" applyBorder="1"/>
    <xf numFmtId="0" fontId="0" fillId="34" borderId="16" xfId="0" applyFill="1" applyBorder="1"/>
    <xf numFmtId="165" fontId="25" fillId="34" borderId="15" xfId="0" applyNumberFormat="1" applyFont="1" applyFill="1" applyBorder="1"/>
    <xf numFmtId="0" fontId="25" fillId="34" borderId="15" xfId="0" applyFont="1" applyFill="1" applyBorder="1" applyAlignment="1">
      <alignment horizontal="center"/>
    </xf>
    <xf numFmtId="0" fontId="51" fillId="37" borderId="64" xfId="0" applyFont="1" applyFill="1" applyBorder="1" applyAlignment="1">
      <alignment horizontal="center"/>
    </xf>
    <xf numFmtId="0" fontId="51" fillId="37" borderId="65" xfId="0" applyFont="1" applyFill="1" applyBorder="1" applyAlignment="1">
      <alignment horizontal="center"/>
    </xf>
    <xf numFmtId="0" fontId="0" fillId="0" borderId="0" xfId="0" applyAlignment="1">
      <alignment horizontal="center" vertical="center" wrapText="1"/>
    </xf>
    <xf numFmtId="0" fontId="0" fillId="0" borderId="0" xfId="0" applyAlignment="1">
      <alignment wrapText="1"/>
    </xf>
    <xf numFmtId="0" fontId="53" fillId="27" borderId="0" xfId="90" applyFont="1" applyFill="1" applyAlignment="1">
      <alignment vertical="center" wrapText="1"/>
    </xf>
    <xf numFmtId="0" fontId="53" fillId="0" borderId="0" xfId="90" applyFont="1" applyAlignment="1">
      <alignment vertical="center" wrapText="1"/>
    </xf>
    <xf numFmtId="0" fontId="54" fillId="0" borderId="0" xfId="90" applyFont="1" applyAlignment="1">
      <alignment horizontal="left" vertical="center"/>
    </xf>
    <xf numFmtId="0" fontId="55" fillId="44" borderId="0" xfId="90" applyFont="1" applyFill="1" applyAlignment="1">
      <alignment horizontal="left" vertical="center"/>
    </xf>
    <xf numFmtId="0" fontId="54" fillId="27" borderId="0" xfId="90" applyFont="1" applyFill="1" applyAlignment="1">
      <alignment horizontal="left" vertical="center"/>
    </xf>
    <xf numFmtId="0" fontId="54" fillId="45" borderId="69" xfId="90" applyFont="1" applyFill="1" applyBorder="1" applyAlignment="1">
      <alignment horizontal="left" vertical="center"/>
    </xf>
    <xf numFmtId="0" fontId="54" fillId="27" borderId="69" xfId="90" applyFont="1" applyFill="1" applyBorder="1" applyAlignment="1">
      <alignment horizontal="left" vertical="center"/>
    </xf>
    <xf numFmtId="0" fontId="0" fillId="46" borderId="0" xfId="0" applyFill="1"/>
    <xf numFmtId="0" fontId="0" fillId="46" borderId="39" xfId="0" applyFill="1" applyBorder="1"/>
    <xf numFmtId="0" fontId="0" fillId="46" borderId="36" xfId="0" applyFill="1" applyBorder="1"/>
    <xf numFmtId="0" fontId="25" fillId="32" borderId="37" xfId="0" applyFont="1" applyFill="1" applyBorder="1" applyAlignment="1">
      <alignment horizontal="center"/>
    </xf>
    <xf numFmtId="0" fontId="25" fillId="32" borderId="40" xfId="0" applyFont="1" applyFill="1" applyBorder="1" applyAlignment="1">
      <alignment horizontal="center"/>
    </xf>
    <xf numFmtId="0" fontId="25" fillId="46" borderId="36" xfId="0" applyFont="1" applyFill="1" applyBorder="1" applyAlignment="1">
      <alignment horizontal="center"/>
    </xf>
    <xf numFmtId="0" fontId="25" fillId="46" borderId="0" xfId="0" applyFont="1" applyFill="1" applyAlignment="1">
      <alignment horizontal="center"/>
    </xf>
    <xf numFmtId="0" fontId="25" fillId="46" borderId="37" xfId="0" applyFont="1" applyFill="1" applyBorder="1" applyAlignment="1">
      <alignment horizontal="center"/>
    </xf>
    <xf numFmtId="0" fontId="0" fillId="46" borderId="36" xfId="0" applyFill="1" applyBorder="1" applyAlignment="1">
      <alignment horizontal="center"/>
    </xf>
    <xf numFmtId="0" fontId="0" fillId="46" borderId="0" xfId="0" applyFill="1" applyAlignment="1">
      <alignment horizontal="center"/>
    </xf>
    <xf numFmtId="0" fontId="0" fillId="46" borderId="37" xfId="0" applyFill="1" applyBorder="1" applyAlignment="1">
      <alignment horizontal="center"/>
    </xf>
    <xf numFmtId="0" fontId="0" fillId="46" borderId="38" xfId="0" applyFill="1" applyBorder="1" applyAlignment="1">
      <alignment horizontal="center"/>
    </xf>
    <xf numFmtId="0" fontId="0" fillId="46" borderId="39" xfId="0" applyFill="1" applyBorder="1" applyAlignment="1">
      <alignment horizontal="center"/>
    </xf>
    <xf numFmtId="0" fontId="0" fillId="46" borderId="40" xfId="0" applyFill="1" applyBorder="1" applyAlignment="1">
      <alignment horizontal="center"/>
    </xf>
    <xf numFmtId="0" fontId="57" fillId="0" borderId="0" xfId="91" applyFont="1"/>
    <xf numFmtId="0" fontId="56" fillId="0" borderId="0" xfId="91"/>
    <xf numFmtId="0" fontId="56" fillId="0" borderId="0" xfId="92"/>
    <xf numFmtId="0" fontId="56" fillId="47" borderId="0" xfId="91" applyFill="1"/>
    <xf numFmtId="0" fontId="49" fillId="0" borderId="0" xfId="85"/>
    <xf numFmtId="0" fontId="3" fillId="27" borderId="0" xfId="94" applyFill="1"/>
    <xf numFmtId="0" fontId="58" fillId="27" borderId="0" xfId="94" applyFont="1" applyFill="1"/>
    <xf numFmtId="0" fontId="52" fillId="27" borderId="0" xfId="94" applyFont="1" applyFill="1"/>
    <xf numFmtId="0" fontId="59" fillId="27" borderId="0" xfId="94" applyFont="1" applyFill="1"/>
    <xf numFmtId="0" fontId="60" fillId="43" borderId="70" xfId="94" applyFont="1" applyFill="1" applyBorder="1" applyAlignment="1">
      <alignment horizontal="center" vertical="center" wrapText="1"/>
    </xf>
    <xf numFmtId="0" fontId="3" fillId="48" borderId="47" xfId="94" applyFill="1" applyBorder="1" applyAlignment="1">
      <alignment horizontal="center"/>
    </xf>
    <xf numFmtId="0" fontId="3" fillId="48" borderId="46" xfId="94" applyFill="1" applyBorder="1" applyAlignment="1">
      <alignment horizontal="center"/>
    </xf>
    <xf numFmtId="0" fontId="3" fillId="49" borderId="70" xfId="94" applyFill="1" applyBorder="1"/>
    <xf numFmtId="0" fontId="3" fillId="49" borderId="53" xfId="94" applyFill="1" applyBorder="1"/>
    <xf numFmtId="0" fontId="3" fillId="49" borderId="52" xfId="94" applyFill="1" applyBorder="1"/>
    <xf numFmtId="0" fontId="3" fillId="43" borderId="47" xfId="94" applyFill="1" applyBorder="1" applyAlignment="1">
      <alignment horizontal="center" textRotation="90"/>
    </xf>
    <xf numFmtId="0" fontId="52" fillId="43" borderId="70" xfId="94" applyFont="1" applyFill="1" applyBorder="1" applyAlignment="1">
      <alignment horizontal="center" textRotation="90"/>
    </xf>
    <xf numFmtId="0" fontId="3" fillId="43" borderId="71" xfId="94" applyFill="1" applyBorder="1" applyAlignment="1">
      <alignment horizontal="center" vertical="center" wrapText="1"/>
    </xf>
    <xf numFmtId="0" fontId="3" fillId="43" borderId="72" xfId="94" applyFill="1" applyBorder="1"/>
    <xf numFmtId="0" fontId="52" fillId="43" borderId="44" xfId="94" applyFont="1" applyFill="1" applyBorder="1"/>
    <xf numFmtId="0" fontId="3" fillId="50" borderId="73" xfId="94" applyFill="1" applyBorder="1" applyAlignment="1">
      <alignment horizontal="center" vertical="center"/>
    </xf>
    <xf numFmtId="0" fontId="3" fillId="51" borderId="74" xfId="94" applyFill="1" applyBorder="1" applyAlignment="1">
      <alignment horizontal="center" vertical="center"/>
    </xf>
    <xf numFmtId="0" fontId="3" fillId="51" borderId="75" xfId="94" applyFill="1" applyBorder="1" applyAlignment="1">
      <alignment horizontal="center" vertical="center"/>
    </xf>
    <xf numFmtId="0" fontId="3" fillId="43" borderId="46" xfId="94" applyFill="1" applyBorder="1" applyAlignment="1">
      <alignment horizontal="center" vertical="center"/>
    </xf>
    <xf numFmtId="2" fontId="3" fillId="43" borderId="71" xfId="94" applyNumberFormat="1" applyFill="1" applyBorder="1" applyAlignment="1">
      <alignment horizontal="center" vertical="center"/>
    </xf>
    <xf numFmtId="2" fontId="3" fillId="27" borderId="0" xfId="94" applyNumberFormat="1" applyFill="1"/>
    <xf numFmtId="0" fontId="3" fillId="51" borderId="76" xfId="94" applyFill="1" applyBorder="1" applyAlignment="1">
      <alignment horizontal="center" vertical="center"/>
    </xf>
    <xf numFmtId="0" fontId="3" fillId="50" borderId="10" xfId="94" applyFill="1" applyBorder="1" applyAlignment="1">
      <alignment horizontal="center" vertical="center"/>
    </xf>
    <xf numFmtId="0" fontId="3" fillId="51" borderId="10" xfId="94" applyFill="1" applyBorder="1" applyAlignment="1">
      <alignment horizontal="center" vertical="center"/>
    </xf>
    <xf numFmtId="0" fontId="3" fillId="51" borderId="49" xfId="94" applyFill="1" applyBorder="1" applyAlignment="1">
      <alignment horizontal="center" vertical="center"/>
    </xf>
    <xf numFmtId="0" fontId="3" fillId="43" borderId="43" xfId="94" applyFill="1" applyBorder="1" applyAlignment="1">
      <alignment horizontal="center" vertical="center"/>
    </xf>
    <xf numFmtId="2" fontId="3" fillId="43" borderId="72" xfId="94" applyNumberFormat="1" applyFill="1" applyBorder="1" applyAlignment="1">
      <alignment horizontal="center" vertical="center"/>
    </xf>
    <xf numFmtId="0" fontId="3" fillId="43" borderId="77" xfId="94" applyFill="1" applyBorder="1"/>
    <xf numFmtId="0" fontId="52" fillId="43" borderId="42" xfId="94" applyFont="1" applyFill="1" applyBorder="1"/>
    <xf numFmtId="0" fontId="3" fillId="51" borderId="78" xfId="94" applyFill="1" applyBorder="1" applyAlignment="1">
      <alignment horizontal="center" vertical="center"/>
    </xf>
    <xf numFmtId="0" fontId="3" fillId="51" borderId="79" xfId="94" applyFill="1" applyBorder="1" applyAlignment="1">
      <alignment horizontal="center" vertical="center"/>
    </xf>
    <xf numFmtId="0" fontId="3" fillId="50" borderId="80" xfId="94" applyFill="1" applyBorder="1" applyAlignment="1">
      <alignment horizontal="center" vertical="center"/>
    </xf>
    <xf numFmtId="0" fontId="3" fillId="43" borderId="41" xfId="94" applyFill="1" applyBorder="1" applyAlignment="1">
      <alignment horizontal="center" vertical="center"/>
    </xf>
    <xf numFmtId="2" fontId="3" fillId="43" borderId="77" xfId="94" applyNumberFormat="1" applyFill="1" applyBorder="1" applyAlignment="1">
      <alignment horizontal="center" vertical="center"/>
    </xf>
    <xf numFmtId="0" fontId="52" fillId="43" borderId="48" xfId="94" applyFont="1" applyFill="1" applyBorder="1" applyAlignment="1">
      <alignment horizontal="center" textRotation="90"/>
    </xf>
    <xf numFmtId="0" fontId="52" fillId="43" borderId="47" xfId="94" applyFont="1" applyFill="1" applyBorder="1" applyAlignment="1">
      <alignment horizontal="center" textRotation="90"/>
    </xf>
    <xf numFmtId="0" fontId="3" fillId="48" borderId="81" xfId="94" applyFill="1" applyBorder="1" applyAlignment="1">
      <alignment horizontal="center" textRotation="90"/>
    </xf>
    <xf numFmtId="0" fontId="3" fillId="48" borderId="64" xfId="94" applyFill="1" applyBorder="1" applyAlignment="1">
      <alignment horizontal="center" textRotation="90"/>
    </xf>
    <xf numFmtId="0" fontId="3" fillId="48" borderId="65" xfId="94" applyFill="1" applyBorder="1" applyAlignment="1">
      <alignment horizontal="center" textRotation="90"/>
    </xf>
    <xf numFmtId="0" fontId="3" fillId="48" borderId="82" xfId="94" applyFill="1" applyBorder="1" applyAlignment="1">
      <alignment horizontal="center" vertical="center"/>
    </xf>
    <xf numFmtId="0" fontId="3" fillId="48" borderId="83" xfId="94" applyFill="1" applyBorder="1" applyAlignment="1">
      <alignment horizontal="center" vertical="center"/>
    </xf>
    <xf numFmtId="0" fontId="3" fillId="48" borderId="84" xfId="94" applyFill="1" applyBorder="1" applyAlignment="1">
      <alignment horizontal="center" vertical="center"/>
    </xf>
    <xf numFmtId="0" fontId="3" fillId="48" borderId="76" xfId="94" applyFill="1" applyBorder="1" applyAlignment="1">
      <alignment horizontal="center" vertical="center"/>
    </xf>
    <xf numFmtId="0" fontId="3" fillId="48" borderId="10" xfId="94" applyFill="1" applyBorder="1" applyAlignment="1">
      <alignment horizontal="center" vertical="center"/>
    </xf>
    <xf numFmtId="0" fontId="3" fillId="48" borderId="51" xfId="94" applyFill="1" applyBorder="1" applyAlignment="1">
      <alignment horizontal="center" vertical="center"/>
    </xf>
    <xf numFmtId="0" fontId="3" fillId="48" borderId="0" xfId="94" applyFill="1" applyAlignment="1">
      <alignment horizontal="center" vertical="center"/>
    </xf>
    <xf numFmtId="0" fontId="3" fillId="48" borderId="78" xfId="94" applyFill="1" applyBorder="1" applyAlignment="1">
      <alignment horizontal="center" vertical="center"/>
    </xf>
    <xf numFmtId="0" fontId="3" fillId="48" borderId="79" xfId="94" applyFill="1" applyBorder="1" applyAlignment="1">
      <alignment horizontal="center" vertical="center"/>
    </xf>
    <xf numFmtId="0" fontId="3" fillId="48" borderId="85" xfId="94" applyFill="1" applyBorder="1" applyAlignment="1">
      <alignment horizontal="center" vertical="center"/>
    </xf>
    <xf numFmtId="0" fontId="52" fillId="43" borderId="70" xfId="94" applyFont="1" applyFill="1" applyBorder="1"/>
    <xf numFmtId="1" fontId="3" fillId="43" borderId="54" xfId="94" applyNumberFormat="1" applyFill="1" applyBorder="1" applyAlignment="1">
      <alignment horizontal="center" vertical="center"/>
    </xf>
    <xf numFmtId="1" fontId="3" fillId="43" borderId="53" xfId="94" applyNumberFormat="1" applyFill="1" applyBorder="1" applyAlignment="1">
      <alignment horizontal="center" vertical="center"/>
    </xf>
    <xf numFmtId="1" fontId="3" fillId="43" borderId="52" xfId="94" applyNumberFormat="1" applyFill="1" applyBorder="1" applyAlignment="1">
      <alignment horizontal="center" vertical="center"/>
    </xf>
    <xf numFmtId="0" fontId="3" fillId="43" borderId="43" xfId="94" applyFill="1" applyBorder="1"/>
    <xf numFmtId="0" fontId="52" fillId="43" borderId="77" xfId="94" applyFont="1" applyFill="1" applyBorder="1"/>
    <xf numFmtId="0" fontId="52" fillId="43" borderId="54" xfId="94" applyFont="1" applyFill="1" applyBorder="1" applyAlignment="1">
      <alignment horizontal="center" vertical="center"/>
    </xf>
    <xf numFmtId="0" fontId="52" fillId="43" borderId="53" xfId="94" applyFont="1" applyFill="1" applyBorder="1" applyAlignment="1">
      <alignment horizontal="center" vertical="center"/>
    </xf>
    <xf numFmtId="0" fontId="52" fillId="43" borderId="52" xfId="94" applyFont="1" applyFill="1" applyBorder="1" applyAlignment="1">
      <alignment horizontal="center" vertical="center"/>
    </xf>
    <xf numFmtId="0" fontId="3" fillId="43" borderId="41" xfId="94" applyFill="1" applyBorder="1"/>
    <xf numFmtId="0" fontId="3" fillId="0" borderId="0" xfId="94"/>
    <xf numFmtId="0" fontId="0" fillId="0" borderId="0" xfId="0" applyAlignment="1">
      <alignment horizontal="left"/>
    </xf>
    <xf numFmtId="0" fontId="0" fillId="0" borderId="0" xfId="0" applyAlignment="1">
      <alignment horizontal="left" indent="1"/>
    </xf>
    <xf numFmtId="0" fontId="0" fillId="0" borderId="0" xfId="0" pivotButton="1"/>
    <xf numFmtId="0" fontId="2" fillId="48" borderId="47" xfId="94" applyFont="1" applyFill="1" applyBorder="1" applyAlignment="1">
      <alignment horizontal="center"/>
    </xf>
    <xf numFmtId="0" fontId="1" fillId="27" borderId="0" xfId="94" applyFont="1" applyFill="1"/>
    <xf numFmtId="0" fontId="52" fillId="27" borderId="48" xfId="94" applyFont="1" applyFill="1" applyBorder="1"/>
    <xf numFmtId="0" fontId="3" fillId="27" borderId="47" xfId="94" applyFill="1" applyBorder="1"/>
    <xf numFmtId="0" fontId="3" fillId="27" borderId="46" xfId="94" applyFill="1" applyBorder="1"/>
    <xf numFmtId="0" fontId="1" fillId="27" borderId="44" xfId="94" applyFont="1" applyFill="1" applyBorder="1"/>
    <xf numFmtId="0" fontId="3" fillId="27" borderId="43" xfId="94" applyFill="1" applyBorder="1"/>
    <xf numFmtId="0" fontId="1" fillId="27" borderId="42" xfId="94" applyFont="1" applyFill="1" applyBorder="1"/>
    <xf numFmtId="0" fontId="3" fillId="27" borderId="45" xfId="94" applyFill="1" applyBorder="1"/>
    <xf numFmtId="0" fontId="3" fillId="27" borderId="41" xfId="94" applyFill="1" applyBorder="1"/>
    <xf numFmtId="0" fontId="1" fillId="48" borderId="47" xfId="94" applyFont="1" applyFill="1" applyBorder="1" applyAlignment="1">
      <alignment horizontal="center"/>
    </xf>
    <xf numFmtId="0" fontId="1" fillId="43" borderId="70" xfId="94" applyFont="1" applyFill="1" applyBorder="1" applyAlignment="1">
      <alignment wrapText="1"/>
    </xf>
    <xf numFmtId="0" fontId="61" fillId="0" borderId="0" xfId="0" applyFont="1"/>
    <xf numFmtId="3" fontId="36" fillId="26" borderId="0" xfId="0" applyNumberFormat="1" applyFont="1" applyFill="1"/>
    <xf numFmtId="0" fontId="0" fillId="0" borderId="0" xfId="0"/>
    <xf numFmtId="10" fontId="26" fillId="36" borderId="51" xfId="0" applyNumberFormat="1" applyFont="1" applyFill="1" applyBorder="1" applyProtection="1">
      <protection locked="0"/>
    </xf>
    <xf numFmtId="10" fontId="62" fillId="32" borderId="0" xfId="57" applyNumberFormat="1" applyFont="1" applyFill="1" applyBorder="1"/>
    <xf numFmtId="0" fontId="0" fillId="43" borderId="66" xfId="0" applyFill="1" applyBorder="1" applyAlignment="1">
      <alignment horizontal="left" vertical="center" wrapText="1"/>
    </xf>
    <xf numFmtId="0" fontId="0" fillId="43" borderId="67" xfId="0" applyFill="1" applyBorder="1" applyAlignment="1">
      <alignment horizontal="left" vertical="center" wrapText="1"/>
    </xf>
    <xf numFmtId="0" fontId="0" fillId="43" borderId="68" xfId="0" applyFill="1" applyBorder="1" applyAlignment="1">
      <alignment horizontal="left" vertical="center" wrapText="1"/>
    </xf>
    <xf numFmtId="0" fontId="25" fillId="28" borderId="33" xfId="0" applyFont="1" applyFill="1" applyBorder="1" applyAlignment="1">
      <alignment horizontal="center"/>
    </xf>
    <xf numFmtId="0" fontId="25" fillId="28" borderId="34" xfId="0" applyFont="1" applyFill="1" applyBorder="1" applyAlignment="1">
      <alignment horizontal="center"/>
    </xf>
    <xf numFmtId="0" fontId="25" fillId="28" borderId="35" xfId="0" applyFont="1" applyFill="1" applyBorder="1" applyAlignment="1">
      <alignment horizontal="center"/>
    </xf>
    <xf numFmtId="0" fontId="25" fillId="35" borderId="33" xfId="0" applyFont="1" applyFill="1" applyBorder="1" applyAlignment="1">
      <alignment horizontal="center"/>
    </xf>
    <xf numFmtId="0" fontId="25" fillId="35" borderId="34" xfId="0" applyFont="1" applyFill="1" applyBorder="1" applyAlignment="1">
      <alignment horizontal="center"/>
    </xf>
    <xf numFmtId="0" fontId="25" fillId="35" borderId="35" xfId="0" applyFont="1" applyFill="1" applyBorder="1" applyAlignment="1">
      <alignment horizontal="center"/>
    </xf>
    <xf numFmtId="0" fontId="25" fillId="0" borderId="0" xfId="0" applyFont="1" applyAlignment="1">
      <alignment horizontal="center" wrapText="1"/>
    </xf>
    <xf numFmtId="0" fontId="25" fillId="28" borderId="23" xfId="0" applyFont="1" applyFill="1" applyBorder="1" applyAlignment="1">
      <alignment horizontal="center"/>
    </xf>
    <xf numFmtId="0" fontId="25" fillId="28" borderId="0" xfId="0" applyFont="1" applyFill="1" applyAlignment="1">
      <alignment horizontal="center"/>
    </xf>
    <xf numFmtId="0" fontId="38" fillId="28" borderId="23" xfId="0" applyFont="1" applyFill="1" applyBorder="1" applyAlignment="1">
      <alignment horizontal="center"/>
    </xf>
    <xf numFmtId="0" fontId="38" fillId="28" borderId="0" xfId="0" applyFont="1" applyFill="1" applyAlignment="1">
      <alignment horizontal="center"/>
    </xf>
    <xf numFmtId="0" fontId="28" fillId="0" borderId="0" xfId="0" applyFont="1" applyAlignment="1">
      <alignment horizontal="center"/>
    </xf>
    <xf numFmtId="0" fontId="0" fillId="0" borderId="0" xfId="0"/>
    <xf numFmtId="0" fontId="34" fillId="29" borderId="17" xfId="0" applyFont="1" applyFill="1" applyBorder="1" applyAlignment="1">
      <alignment horizontal="center" vertical="center"/>
    </xf>
    <xf numFmtId="0" fontId="5" fillId="29" borderId="18" xfId="0" applyFont="1" applyFill="1" applyBorder="1" applyAlignment="1">
      <alignment horizontal="center" vertical="center"/>
    </xf>
    <xf numFmtId="0" fontId="5" fillId="29" borderId="19" xfId="0" applyFont="1" applyFill="1" applyBorder="1" applyAlignment="1">
      <alignment horizontal="center" vertical="center"/>
    </xf>
    <xf numFmtId="0" fontId="34" fillId="31" borderId="20" xfId="0" applyFont="1" applyFill="1" applyBorder="1" applyAlignment="1">
      <alignment horizontal="center" vertical="center"/>
    </xf>
    <xf numFmtId="0" fontId="34" fillId="31" borderId="21" xfId="0" applyFont="1" applyFill="1" applyBorder="1" applyAlignment="1">
      <alignment horizontal="center" vertical="center"/>
    </xf>
    <xf numFmtId="0" fontId="34" fillId="31" borderId="22" xfId="0" applyFont="1" applyFill="1" applyBorder="1" applyAlignment="1">
      <alignment horizontal="center" vertical="center"/>
    </xf>
    <xf numFmtId="0" fontId="25" fillId="33" borderId="12" xfId="0" applyFont="1" applyFill="1" applyBorder="1" applyAlignment="1">
      <alignment horizontal="center"/>
    </xf>
    <xf numFmtId="0" fontId="25" fillId="33" borderId="0" xfId="0" applyFont="1" applyFill="1" applyAlignment="1">
      <alignment horizontal="center"/>
    </xf>
    <xf numFmtId="0" fontId="25" fillId="33" borderId="13" xfId="0" applyFont="1" applyFill="1" applyBorder="1" applyAlignment="1">
      <alignment horizontal="center"/>
    </xf>
    <xf numFmtId="0" fontId="0" fillId="28" borderId="0" xfId="0" applyFill="1" applyAlignment="1">
      <alignment horizontal="center"/>
    </xf>
    <xf numFmtId="0" fontId="0" fillId="28" borderId="24" xfId="0" applyFill="1" applyBorder="1" applyAlignment="1">
      <alignment horizontal="center"/>
    </xf>
    <xf numFmtId="0" fontId="25" fillId="35" borderId="23" xfId="0" applyFont="1" applyFill="1" applyBorder="1" applyAlignment="1">
      <alignment horizontal="center"/>
    </xf>
    <xf numFmtId="0" fontId="25" fillId="35" borderId="0" xfId="0" applyFont="1" applyFill="1" applyAlignment="1">
      <alignment horizontal="center"/>
    </xf>
    <xf numFmtId="0" fontId="25" fillId="35" borderId="24" xfId="0" applyFont="1" applyFill="1" applyBorder="1" applyAlignment="1">
      <alignment horizontal="center"/>
    </xf>
    <xf numFmtId="0" fontId="25" fillId="27" borderId="0" xfId="0" applyFont="1" applyFill="1" applyAlignment="1">
      <alignment horizontal="center"/>
    </xf>
    <xf numFmtId="0" fontId="25" fillId="28" borderId="24" xfId="0" applyFont="1" applyFill="1" applyBorder="1" applyAlignment="1">
      <alignment horizontal="center"/>
    </xf>
    <xf numFmtId="0" fontId="4" fillId="43" borderId="66" xfId="90" applyFill="1" applyBorder="1" applyAlignment="1">
      <alignment horizontal="left" vertical="center" wrapText="1"/>
    </xf>
    <xf numFmtId="0" fontId="4" fillId="43" borderId="67" xfId="90" applyFill="1" applyBorder="1" applyAlignment="1">
      <alignment horizontal="left" vertical="center" wrapText="1"/>
    </xf>
    <xf numFmtId="0" fontId="4" fillId="43" borderId="68" xfId="90" applyFill="1" applyBorder="1" applyAlignment="1">
      <alignment horizontal="left" vertical="center" wrapText="1"/>
    </xf>
    <xf numFmtId="0" fontId="60" fillId="43" borderId="71" xfId="94" applyFont="1" applyFill="1" applyBorder="1" applyAlignment="1">
      <alignment horizontal="center" vertical="center" wrapText="1"/>
    </xf>
    <xf numFmtId="0" fontId="60" fillId="43" borderId="77" xfId="94" applyFont="1" applyFill="1" applyBorder="1" applyAlignment="1">
      <alignment horizontal="center" vertical="center" wrapText="1"/>
    </xf>
    <xf numFmtId="0" fontId="3" fillId="43" borderId="71" xfId="94" applyFill="1" applyBorder="1" applyAlignment="1">
      <alignment horizontal="right" vertical="center" wrapText="1"/>
    </xf>
    <xf numFmtId="0" fontId="3" fillId="43" borderId="42" xfId="94" applyFill="1" applyBorder="1" applyAlignment="1">
      <alignment horizontal="right" vertical="center"/>
    </xf>
    <xf numFmtId="0" fontId="3" fillId="43" borderId="71" xfId="94" applyFill="1" applyBorder="1" applyAlignment="1">
      <alignment horizontal="center" vertical="center" wrapText="1"/>
    </xf>
    <xf numFmtId="0" fontId="3" fillId="43" borderId="43" xfId="94" applyFill="1" applyBorder="1" applyAlignment="1">
      <alignment horizontal="center" vertical="center" wrapText="1"/>
    </xf>
    <xf numFmtId="0" fontId="1" fillId="43" borderId="71" xfId="94" applyFont="1" applyFill="1" applyBorder="1" applyAlignment="1">
      <alignment horizontal="center" vertical="center" textRotation="90"/>
    </xf>
    <xf numFmtId="0" fontId="3" fillId="43" borderId="72" xfId="94" applyFill="1" applyBorder="1" applyAlignment="1">
      <alignment horizontal="center" vertical="center" textRotation="90"/>
    </xf>
    <xf numFmtId="0" fontId="3" fillId="43" borderId="77" xfId="94" applyFill="1" applyBorder="1" applyAlignment="1">
      <alignment horizontal="center" vertical="center" textRotation="90"/>
    </xf>
    <xf numFmtId="0" fontId="41" fillId="37" borderId="10" xfId="0" applyFont="1" applyFill="1" applyBorder="1" applyAlignment="1">
      <alignment horizontal="center"/>
    </xf>
    <xf numFmtId="0" fontId="41" fillId="37" borderId="51" xfId="0" applyFont="1" applyFill="1" applyBorder="1" applyAlignment="1">
      <alignment horizontal="center"/>
    </xf>
    <xf numFmtId="0" fontId="41" fillId="37" borderId="50" xfId="0" applyFont="1" applyFill="1" applyBorder="1" applyAlignment="1">
      <alignment horizontal="center"/>
    </xf>
  </cellXfs>
  <cellStyles count="136">
    <cellStyle name="????" xfId="95"/>
    <cellStyle name="???? " xfId="96"/>
    <cellStyle name="?????" xfId="97"/>
    <cellStyle name="????? ??????????????" xfId="98"/>
    <cellStyle name="??????" xfId="99"/>
    <cellStyle name="???????" xfId="100"/>
    <cellStyle name="????????" xfId="101"/>
    <cellStyle name="?????????" xfId="102"/>
    <cellStyle name="????????? ??????" xfId="103"/>
    <cellStyle name="????????? 1" xfId="104"/>
    <cellStyle name="????????? 2" xfId="105"/>
    <cellStyle name="????????? 3" xfId="106"/>
    <cellStyle name="????????? 4" xfId="107"/>
    <cellStyle name="??????????" xfId="108"/>
    <cellStyle name="???????????" xfId="109"/>
    <cellStyle name="??????????? ??????" xfId="110"/>
    <cellStyle name="??????1" xfId="111"/>
    <cellStyle name="??????2" xfId="112"/>
    <cellStyle name="??????3" xfId="113"/>
    <cellStyle name="??????4" xfId="114"/>
    <cellStyle name="??????5" xfId="115"/>
    <cellStyle name="??????6" xfId="116"/>
    <cellStyle name="20% - ??????1" xfId="117"/>
    <cellStyle name="20% - ??????2" xfId="118"/>
    <cellStyle name="20% - ??????3" xfId="119"/>
    <cellStyle name="20% - ??????4" xfId="120"/>
    <cellStyle name="20% - ??????5" xfId="121"/>
    <cellStyle name="20% - ??????6" xfId="12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20% - Акцент1" xfId="7"/>
    <cellStyle name="20% - Акцент2" xfId="8"/>
    <cellStyle name="20% - Акцент3" xfId="9"/>
    <cellStyle name="20% - Акцент4" xfId="10"/>
    <cellStyle name="20% - Акцент5" xfId="11"/>
    <cellStyle name="20% - Акцент6" xfId="12"/>
    <cellStyle name="40% - ??????1" xfId="123"/>
    <cellStyle name="40% - ??????2" xfId="124"/>
    <cellStyle name="40% - ??????3" xfId="125"/>
    <cellStyle name="40% - ??????4" xfId="126"/>
    <cellStyle name="40% - ??????5" xfId="127"/>
    <cellStyle name="40% - ??????6" xfId="128"/>
    <cellStyle name="40% - Accent1" xfId="13" builtinId="31" customBuiltin="1"/>
    <cellStyle name="40% - Accent2" xfId="14" builtinId="35" customBuiltin="1"/>
    <cellStyle name="40% - Accent3" xfId="15" builtinId="39" customBuiltin="1"/>
    <cellStyle name="40% - Accent4" xfId="16" builtinId="43" customBuiltin="1"/>
    <cellStyle name="40% - Accent5" xfId="17" builtinId="47" customBuiltin="1"/>
    <cellStyle name="40% - Accent6" xfId="18" builtinId="51" customBuiltin="1"/>
    <cellStyle name="40% - Акцент1" xfId="19"/>
    <cellStyle name="40% - Акцент2" xfId="20"/>
    <cellStyle name="40% - Акцент3" xfId="21"/>
    <cellStyle name="40% - Акцент4" xfId="22"/>
    <cellStyle name="40% - Акцент5" xfId="23"/>
    <cellStyle name="40% - Акцент6" xfId="24"/>
    <cellStyle name="60% - ??????1" xfId="129"/>
    <cellStyle name="60% - ??????2" xfId="130"/>
    <cellStyle name="60% - ??????3" xfId="131"/>
    <cellStyle name="60% - ??????4" xfId="132"/>
    <cellStyle name="60% - ??????5" xfId="133"/>
    <cellStyle name="60% - ??????6" xfId="134"/>
    <cellStyle name="60% - Accent1" xfId="25" builtinId="32" customBuiltin="1"/>
    <cellStyle name="60% - Accent2" xfId="26" builtinId="36" customBuiltin="1"/>
    <cellStyle name="60% - Accent3" xfId="27" builtinId="40" customBuiltin="1"/>
    <cellStyle name="60% - Accent4" xfId="28" builtinId="44" customBuiltin="1"/>
    <cellStyle name="60% - Accent5" xfId="29" builtinId="48" customBuiltin="1"/>
    <cellStyle name="60% - Accent6" xfId="30" builtinId="52" customBuiltin="1"/>
    <cellStyle name="60% - Акцент1" xfId="31"/>
    <cellStyle name="60% - Акцент2" xfId="32"/>
    <cellStyle name="60% - Акцент3" xfId="33"/>
    <cellStyle name="60% - Акцент4" xfId="34"/>
    <cellStyle name="60% - Акцент5" xfId="35"/>
    <cellStyle name="60% - Акцент6" xfId="36"/>
    <cellStyle name="Accent1" xfId="37" builtinId="29" customBuiltin="1"/>
    <cellStyle name="Accent1 2" xfId="89"/>
    <cellStyle name="Accent2" xfId="38" builtinId="33" customBuiltin="1"/>
    <cellStyle name="Accent3" xfId="39" builtinId="37" customBuiltin="1"/>
    <cellStyle name="Accent3 2" xfId="87"/>
    <cellStyle name="Accent4" xfId="40" builtinId="41" customBuiltin="1"/>
    <cellStyle name="Accent4 2" xfId="86"/>
    <cellStyle name="Accent5" xfId="41" builtinId="45" customBuiltin="1"/>
    <cellStyle name="Accent5 2" xfId="88"/>
    <cellStyle name="Accent6" xfId="42" builtinId="49" customBuiltin="1"/>
    <cellStyle name="Bad" xfId="43" builtinId="27" customBuiltin="1"/>
    <cellStyle name="Calculation" xfId="44" builtinId="22" customBuiltin="1"/>
    <cellStyle name="Check Cell" xfId="45" builtinId="23" customBuiltin="1"/>
    <cellStyle name="Explanatory Text" xfId="46" builtinId="53" customBuiltin="1"/>
    <cellStyle name="Good" xfId="47" builtinId="26" customBuiltin="1"/>
    <cellStyle name="Heading 1" xfId="48" builtinId="16" customBuiltin="1"/>
    <cellStyle name="Heading 2" xfId="49" builtinId="17" customBuiltin="1"/>
    <cellStyle name="Heading 3" xfId="50" builtinId="18" customBuiltin="1"/>
    <cellStyle name="Heading 4" xfId="51" builtinId="19" customBuiltin="1"/>
    <cellStyle name="Input" xfId="52" builtinId="20" customBuiltin="1"/>
    <cellStyle name="Linked Cell" xfId="53" builtinId="24" customBuiltin="1"/>
    <cellStyle name="Neutral" xfId="54" builtinId="28" customBuiltin="1"/>
    <cellStyle name="Normal" xfId="0" builtinId="0"/>
    <cellStyle name="Normal 2" xfId="85"/>
    <cellStyle name="Normal 2 2" xfId="93"/>
    <cellStyle name="Normal 2_Db" xfId="91"/>
    <cellStyle name="Normal 3" xfId="84"/>
    <cellStyle name="Normal 4" xfId="90"/>
    <cellStyle name="Normal 4 2" xfId="94"/>
    <cellStyle name="Normal 4_Db" xfId="135"/>
    <cellStyle name="Normal_Db" xfId="92"/>
    <cellStyle name="Note" xfId="55" builtinId="10" customBuiltin="1"/>
    <cellStyle name="Output" xfId="56" builtinId="21" customBuiltin="1"/>
    <cellStyle name="Percent" xfId="57" builtinId="5"/>
    <cellStyle name="Title" xfId="58" builtinId="15" customBuiltin="1"/>
    <cellStyle name="Total" xfId="59" builtinId="25" customBuiltin="1"/>
    <cellStyle name="Warning Text" xfId="60" builtinId="11" customBuiltin="1"/>
    <cellStyle name="Акцент1" xfId="61"/>
    <cellStyle name="Акцент2" xfId="62"/>
    <cellStyle name="Акцент3" xfId="63"/>
    <cellStyle name="Акцент4" xfId="64"/>
    <cellStyle name="Акцент5" xfId="65"/>
    <cellStyle name="Акцент6" xfId="66"/>
    <cellStyle name="Ввод " xfId="67"/>
    <cellStyle name="Вывод" xfId="68"/>
    <cellStyle name="Вычисление" xfId="69"/>
    <cellStyle name="Заголовок 1" xfId="70"/>
    <cellStyle name="Заголовок 2" xfId="71"/>
    <cellStyle name="Заголовок 3" xfId="72"/>
    <cellStyle name="Заголовок 4" xfId="73"/>
    <cellStyle name="Итог" xfId="74"/>
    <cellStyle name="Контрольная ячейка" xfId="75"/>
    <cellStyle name="Название" xfId="76"/>
    <cellStyle name="Нейтральный" xfId="77"/>
    <cellStyle name="Плохой" xfId="78"/>
    <cellStyle name="Пояснение" xfId="79"/>
    <cellStyle name="Примечание" xfId="80"/>
    <cellStyle name="Связанная ячейка" xfId="81"/>
    <cellStyle name="Текст предупреждения" xfId="82"/>
    <cellStyle name="Хороший" xfId="83"/>
  </cellStyles>
  <dxfs count="1">
    <dxf>
      <fill>
        <patternFill>
          <bgColor rgb="FFFF0000"/>
        </patternFill>
      </fill>
    </dxf>
  </dxfs>
  <tableStyles count="0" defaultTableStyle="TableStyleMedium9" defaultPivotStyle="PivotStyleLight16"/>
  <colors>
    <mruColors>
      <color rgb="FF538DD5"/>
      <color rgb="FFFFFF66"/>
      <color rgb="FFDAEEF3"/>
      <color rgb="FFFFFFCC"/>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5.xml"/><Relationship Id="rId26" Type="http://schemas.openxmlformats.org/officeDocument/2006/relationships/externalLink" Target="externalLinks/externalLink13.xml"/><Relationship Id="rId3" Type="http://schemas.openxmlformats.org/officeDocument/2006/relationships/worksheet" Target="worksheets/sheet3.xml"/><Relationship Id="rId21" Type="http://schemas.openxmlformats.org/officeDocument/2006/relationships/externalLink" Target="externalLinks/externalLink8.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4.xml"/><Relationship Id="rId25" Type="http://schemas.openxmlformats.org/officeDocument/2006/relationships/externalLink" Target="externalLinks/externalLink12.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3.xml"/><Relationship Id="rId20" Type="http://schemas.openxmlformats.org/officeDocument/2006/relationships/externalLink" Target="externalLinks/externalLink7.xml"/><Relationship Id="rId29" Type="http://schemas.openxmlformats.org/officeDocument/2006/relationships/externalLink" Target="externalLinks/externalLink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1.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externalLink" Target="externalLinks/externalLink10.xml"/><Relationship Id="rId28" Type="http://schemas.openxmlformats.org/officeDocument/2006/relationships/externalLink" Target="externalLinks/externalLink15.xml"/><Relationship Id="rId10" Type="http://schemas.openxmlformats.org/officeDocument/2006/relationships/worksheet" Target="worksheets/sheet10.xml"/><Relationship Id="rId19" Type="http://schemas.openxmlformats.org/officeDocument/2006/relationships/externalLink" Target="externalLinks/externalLink6.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externalLink" Target="externalLinks/externalLink9.xml"/><Relationship Id="rId27" Type="http://schemas.openxmlformats.org/officeDocument/2006/relationships/externalLink" Target="externalLinks/externalLink14.xml"/><Relationship Id="rId30" Type="http://schemas.openxmlformats.org/officeDocument/2006/relationships/pivotCacheDefinition" Target="pivotCache/pivotCacheDefinition1.xml"/><Relationship Id="rId35" Type="http://schemas.microsoft.com/office/2006/relationships/vbaProject" Target="vbaProject.bin"/><Relationship Id="rId8" Type="http://schemas.openxmlformats.org/officeDocument/2006/relationships/worksheet" Target="worksheets/sheet8.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6.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7.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18"/>
    </mc:Choice>
    <mc:Fallback>
      <c:style val="18"/>
    </mc:Fallback>
  </mc:AlternateContent>
  <c:chart>
    <c:autoTitleDeleted val="1"/>
    <c:plotArea>
      <c:layout>
        <c:manualLayout>
          <c:layoutTarget val="inner"/>
          <c:xMode val="edge"/>
          <c:yMode val="edge"/>
          <c:x val="9.3113437448671427E-2"/>
          <c:y val="4.4858665394098482E-2"/>
          <c:w val="0.73319563023971435"/>
          <c:h val="0.91028266921180256"/>
        </c:manualLayout>
      </c:layout>
      <c:barChart>
        <c:barDir val="col"/>
        <c:grouping val="stacked"/>
        <c:varyColors val="0"/>
        <c:ser>
          <c:idx val="0"/>
          <c:order val="0"/>
          <c:tx>
            <c:strRef>
              <c:f>'Thermal Control - Spherical'!$G$79:$J$79</c:f>
              <c:strCache>
                <c:ptCount val="4"/>
                <c:pt idx="0">
                  <c:v>0</c:v>
                </c:pt>
                <c:pt idx="1">
                  <c:v>0</c:v>
                </c:pt>
                <c:pt idx="2">
                  <c:v>0</c:v>
                </c:pt>
                <c:pt idx="3">
                  <c:v>0</c:v>
                </c:pt>
              </c:strCache>
            </c:strRef>
          </c:tx>
          <c:spPr>
            <a:noFill/>
          </c:spPr>
          <c:invertIfNegative val="0"/>
          <c:val>
            <c:numRef>
              <c:f>'Thermal Control - Spherical'!$W$51:$AA$51</c:f>
              <c:numCache>
                <c:formatCode>General</c:formatCode>
                <c:ptCount val="5"/>
                <c:pt idx="3">
                  <c:v>0</c:v>
                </c:pt>
              </c:numCache>
            </c:numRef>
          </c:val>
          <c:extLst>
            <c:ext xmlns:c16="http://schemas.microsoft.com/office/drawing/2014/chart" uri="{C3380CC4-5D6E-409C-BE32-E72D297353CC}">
              <c16:uniqueId val="{00000000-419A-4261-A4A3-BCAA2BC91D0E}"/>
            </c:ext>
          </c:extLst>
        </c:ser>
        <c:ser>
          <c:idx val="1"/>
          <c:order val="1"/>
          <c:tx>
            <c:v>Components Recommended Operational Temperature Ranges</c:v>
          </c:tx>
          <c:spPr>
            <a:solidFill>
              <a:schemeClr val="accent5">
                <a:lumMod val="75000"/>
              </a:schemeClr>
            </a:solidFill>
          </c:spPr>
          <c:invertIfNegative val="0"/>
          <c:val>
            <c:numRef>
              <c:f>'Thermal Control - Spherical'!$G$80:$J$80</c:f>
              <c:numCache>
                <c:formatCode>General</c:formatCode>
                <c:ptCount val="4"/>
                <c:pt idx="0">
                  <c:v>-5</c:v>
                </c:pt>
                <c:pt idx="1">
                  <c:v>-10</c:v>
                </c:pt>
                <c:pt idx="2">
                  <c:v>0</c:v>
                </c:pt>
                <c:pt idx="3">
                  <c:v>0</c:v>
                </c:pt>
              </c:numCache>
            </c:numRef>
          </c:val>
          <c:extLst>
            <c:ext xmlns:c16="http://schemas.microsoft.com/office/drawing/2014/chart" uri="{C3380CC4-5D6E-409C-BE32-E72D297353CC}">
              <c16:uniqueId val="{00000001-419A-4261-A4A3-BCAA2BC91D0E}"/>
            </c:ext>
          </c:extLst>
        </c:ser>
        <c:ser>
          <c:idx val="2"/>
          <c:order val="2"/>
          <c:tx>
            <c:v>Components Survivability Temperature Ranges</c:v>
          </c:tx>
          <c:spPr>
            <a:solidFill>
              <a:srgbClr val="9BBB59">
                <a:lumMod val="75000"/>
              </a:srgbClr>
            </a:solidFill>
          </c:spPr>
          <c:invertIfNegative val="0"/>
          <c:val>
            <c:numRef>
              <c:f>'Thermal Control - Spherical'!$G$81:$J$81</c:f>
              <c:numCache>
                <c:formatCode>General</c:formatCode>
                <c:ptCount val="4"/>
                <c:pt idx="0">
                  <c:v>-10</c:v>
                </c:pt>
                <c:pt idx="1">
                  <c:v>-10</c:v>
                </c:pt>
                <c:pt idx="2">
                  <c:v>10</c:v>
                </c:pt>
                <c:pt idx="3">
                  <c:v>-10</c:v>
                </c:pt>
              </c:numCache>
            </c:numRef>
          </c:val>
          <c:extLst>
            <c:ext xmlns:c16="http://schemas.microsoft.com/office/drawing/2014/chart" uri="{C3380CC4-5D6E-409C-BE32-E72D297353CC}">
              <c16:uniqueId val="{00000002-419A-4261-A4A3-BCAA2BC91D0E}"/>
            </c:ext>
          </c:extLst>
        </c:ser>
        <c:ser>
          <c:idx val="3"/>
          <c:order val="3"/>
          <c:tx>
            <c:strRef>
              <c:f>'Thermal Control - Spherical'!$G$82:$J$82</c:f>
              <c:strCache>
                <c:ptCount val="4"/>
                <c:pt idx="0">
                  <c:v>20</c:v>
                </c:pt>
                <c:pt idx="1">
                  <c:v>50</c:v>
                </c:pt>
                <c:pt idx="2">
                  <c:v>40</c:v>
                </c:pt>
                <c:pt idx="3">
                  <c:v>40</c:v>
                </c:pt>
              </c:strCache>
            </c:strRef>
          </c:tx>
          <c:spPr>
            <a:solidFill>
              <a:schemeClr val="accent5">
                <a:lumMod val="75000"/>
              </a:schemeClr>
            </a:solidFill>
          </c:spPr>
          <c:invertIfNegative val="0"/>
          <c:val>
            <c:numRef>
              <c:f>'Thermal Control - Spherical'!$G$82:$J$82</c:f>
              <c:numCache>
                <c:formatCode>General</c:formatCode>
                <c:ptCount val="4"/>
                <c:pt idx="0">
                  <c:v>20</c:v>
                </c:pt>
                <c:pt idx="1">
                  <c:v>50</c:v>
                </c:pt>
                <c:pt idx="2">
                  <c:v>40</c:v>
                </c:pt>
                <c:pt idx="3">
                  <c:v>40</c:v>
                </c:pt>
              </c:numCache>
            </c:numRef>
          </c:val>
          <c:extLst>
            <c:ext xmlns:c16="http://schemas.microsoft.com/office/drawing/2014/chart" uri="{C3380CC4-5D6E-409C-BE32-E72D297353CC}">
              <c16:uniqueId val="{00000003-419A-4261-A4A3-BCAA2BC91D0E}"/>
            </c:ext>
          </c:extLst>
        </c:ser>
        <c:ser>
          <c:idx val="4"/>
          <c:order val="4"/>
          <c:tx>
            <c:strRef>
              <c:f>'Thermal Control - Spherical'!$G$83:$K$83</c:f>
              <c:strCache>
                <c:ptCount val="5"/>
                <c:pt idx="0">
                  <c:v>10</c:v>
                </c:pt>
                <c:pt idx="1">
                  <c:v>10</c:v>
                </c:pt>
                <c:pt idx="2">
                  <c:v>10</c:v>
                </c:pt>
                <c:pt idx="3">
                  <c:v>10</c:v>
                </c:pt>
              </c:strCache>
            </c:strRef>
          </c:tx>
          <c:spPr>
            <a:solidFill>
              <a:schemeClr val="accent3">
                <a:lumMod val="75000"/>
              </a:schemeClr>
            </a:solidFill>
          </c:spPr>
          <c:invertIfNegative val="0"/>
          <c:val>
            <c:numRef>
              <c:f>'Thermal Control - Spherical'!$G$83:$K$83</c:f>
              <c:numCache>
                <c:formatCode>General</c:formatCode>
                <c:ptCount val="5"/>
                <c:pt idx="0">
                  <c:v>10</c:v>
                </c:pt>
                <c:pt idx="1">
                  <c:v>10</c:v>
                </c:pt>
                <c:pt idx="2">
                  <c:v>10</c:v>
                </c:pt>
                <c:pt idx="3">
                  <c:v>10</c:v>
                </c:pt>
              </c:numCache>
            </c:numRef>
          </c:val>
          <c:extLst>
            <c:ext xmlns:c16="http://schemas.microsoft.com/office/drawing/2014/chart" uri="{C3380CC4-5D6E-409C-BE32-E72D297353CC}">
              <c16:uniqueId val="{00000004-419A-4261-A4A3-BCAA2BC91D0E}"/>
            </c:ext>
          </c:extLst>
        </c:ser>
        <c:ser>
          <c:idx val="5"/>
          <c:order val="5"/>
          <c:spPr>
            <a:solidFill>
              <a:srgbClr val="CC3300"/>
            </a:solidFill>
          </c:spPr>
          <c:invertIfNegative val="0"/>
          <c:val>
            <c:numRef>
              <c:f>'Thermal Control - Spherical'!$G$84:$K$84</c:f>
              <c:numCache>
                <c:formatCode>General</c:formatCode>
                <c:ptCount val="5"/>
                <c:pt idx="0">
                  <c:v>0</c:v>
                </c:pt>
                <c:pt idx="1">
                  <c:v>0</c:v>
                </c:pt>
                <c:pt idx="2">
                  <c:v>0</c:v>
                </c:pt>
                <c:pt idx="3">
                  <c:v>0</c:v>
                </c:pt>
                <c:pt idx="4">
                  <c:v>0</c:v>
                </c:pt>
              </c:numCache>
            </c:numRef>
          </c:val>
          <c:extLst>
            <c:ext xmlns:c16="http://schemas.microsoft.com/office/drawing/2014/chart" uri="{C3380CC4-5D6E-409C-BE32-E72D297353CC}">
              <c16:uniqueId val="{00000005-419A-4261-A4A3-BCAA2BC91D0E}"/>
            </c:ext>
          </c:extLst>
        </c:ser>
        <c:ser>
          <c:idx val="6"/>
          <c:order val="6"/>
          <c:tx>
            <c:v>Spacecraft Internal Temperature Range</c:v>
          </c:tx>
          <c:spPr>
            <a:solidFill>
              <a:srgbClr val="CC3300"/>
            </a:solidFill>
          </c:spPr>
          <c:invertIfNegative val="0"/>
          <c:val>
            <c:numRef>
              <c:f>'Thermal Control - Spherical'!$G$85:$K$85</c:f>
              <c:numCache>
                <c:formatCode>General</c:formatCode>
                <c:ptCount val="5"/>
                <c:pt idx="0">
                  <c:v>0</c:v>
                </c:pt>
                <c:pt idx="1">
                  <c:v>0</c:v>
                </c:pt>
                <c:pt idx="2">
                  <c:v>0</c:v>
                </c:pt>
                <c:pt idx="3">
                  <c:v>0</c:v>
                </c:pt>
                <c:pt idx="4">
                  <c:v>40.344122659907839</c:v>
                </c:pt>
              </c:numCache>
            </c:numRef>
          </c:val>
          <c:extLst>
            <c:ext xmlns:c16="http://schemas.microsoft.com/office/drawing/2014/chart" uri="{C3380CC4-5D6E-409C-BE32-E72D297353CC}">
              <c16:uniqueId val="{00000006-419A-4261-A4A3-BCAA2BC91D0E}"/>
            </c:ext>
          </c:extLst>
        </c:ser>
        <c:dLbls>
          <c:showLegendKey val="0"/>
          <c:showVal val="0"/>
          <c:showCatName val="0"/>
          <c:showSerName val="0"/>
          <c:showPercent val="0"/>
          <c:showBubbleSize val="0"/>
        </c:dLbls>
        <c:gapWidth val="75"/>
        <c:overlap val="100"/>
        <c:axId val="627330648"/>
        <c:axId val="627339664"/>
      </c:barChart>
      <c:catAx>
        <c:axId val="627330648"/>
        <c:scaling>
          <c:orientation val="minMax"/>
        </c:scaling>
        <c:delete val="1"/>
        <c:axPos val="b"/>
        <c:majorTickMark val="none"/>
        <c:minorTickMark val="none"/>
        <c:tickLblPos val="none"/>
        <c:crossAx val="627339664"/>
        <c:crosses val="autoZero"/>
        <c:auto val="1"/>
        <c:lblAlgn val="ctr"/>
        <c:lblOffset val="100"/>
        <c:noMultiLvlLbl val="0"/>
      </c:catAx>
      <c:valAx>
        <c:axId val="627339664"/>
        <c:scaling>
          <c:orientation val="minMax"/>
        </c:scaling>
        <c:delete val="0"/>
        <c:axPos val="l"/>
        <c:majorGridlines/>
        <c:minorGridlines/>
        <c:title>
          <c:tx>
            <c:rich>
              <a:bodyPr/>
              <a:lstStyle/>
              <a:p>
                <a:pPr>
                  <a:defRPr/>
                </a:pPr>
                <a:r>
                  <a:rPr lang="en-US"/>
                  <a:t>Temperature deg Celsius</a:t>
                </a:r>
              </a:p>
            </c:rich>
          </c:tx>
          <c:layout/>
          <c:overlay val="0"/>
        </c:title>
        <c:numFmt formatCode="General" sourceLinked="1"/>
        <c:majorTickMark val="out"/>
        <c:minorTickMark val="none"/>
        <c:tickLblPos val="nextTo"/>
        <c:crossAx val="627330648"/>
        <c:crosses val="autoZero"/>
        <c:crossBetween val="between"/>
        <c:majorUnit val="10"/>
        <c:minorUnit val="10"/>
      </c:valAx>
    </c:plotArea>
    <c:legend>
      <c:legendPos val="r"/>
      <c:legendEntry>
        <c:idx val="1"/>
        <c:delete val="1"/>
      </c:legendEntry>
      <c:legendEntry>
        <c:idx val="2"/>
        <c:delete val="1"/>
      </c:legendEntry>
      <c:legendEntry>
        <c:idx val="3"/>
        <c:delete val="1"/>
      </c:legendEntry>
      <c:legendEntry>
        <c:idx val="6"/>
        <c:delete val="1"/>
      </c:legendEntry>
      <c:layout>
        <c:manualLayout>
          <c:xMode val="edge"/>
          <c:yMode val="edge"/>
          <c:x val="0.84484666139828435"/>
          <c:y val="7.0544500119303272E-2"/>
          <c:w val="0.14143988897939638"/>
          <c:h val="0.82254704525570654"/>
        </c:manualLayout>
      </c:layout>
      <c:overlay val="0"/>
      <c:txPr>
        <a:bodyPr/>
        <a:lstStyle/>
        <a:p>
          <a:pPr>
            <a:defRPr sz="1100" baseline="0">
              <a:latin typeface="Calibri" pitchFamily="34" charset="0"/>
            </a:defRPr>
          </a:pPr>
          <a:endParaRPr lang="en-US"/>
        </a:p>
      </c:txPr>
    </c:legend>
    <c:plotVisOnly val="1"/>
    <c:dispBlanksAs val="gap"/>
    <c:showDLblsOverMax val="0"/>
  </c:chart>
  <c:printSettings>
    <c:headerFooter/>
    <c:pageMargins b="0.75000000000000355" l="0.70000000000000062" r="0.70000000000000062" t="0.75000000000000355"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Temperature decrease of thermal controlled spacecraft during eclipse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eps=0,89</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0.43526680254398953</c:v>
              </c:pt>
              <c:pt idx="2">
                <c:v>0.87465467393120089</c:v>
              </c:pt>
              <c:pt idx="3">
                <c:v>1.3182125467479076</c:v>
              </c:pt>
              <c:pt idx="4">
                <c:v>1.7659900532614583</c:v>
              </c:pt>
              <c:pt idx="5">
                <c:v>2.2180375371376013</c:v>
              </c:pt>
              <c:pt idx="6">
                <c:v>2.6744060653835033</c:v>
              </c:pt>
              <c:pt idx="7">
                <c:v>3.1351474405204192</c:v>
              </c:pt>
              <c:pt idx="8">
                <c:v>3.6003142129919334</c:v>
              </c:pt>
              <c:pt idx="9">
                <c:v>4.0699596938121889</c:v>
              </c:pt>
              <c:pt idx="10">
                <c:v>4.544137967459605</c:v>
              </c:pt>
              <c:pt idx="11">
                <c:v>5.0229039050218587</c:v>
              </c:pt>
              <c:pt idx="12">
                <c:v>5.5063131775967822</c:v>
              </c:pt>
              <c:pt idx="13">
                <c:v>5.9944222699559084</c:v>
              </c:pt>
              <c:pt idx="14">
                <c:v>6.4872884944753428</c:v>
              </c:pt>
              <c:pt idx="15">
                <c:v>6.9849700053409842</c:v>
              </c:pt>
              <c:pt idx="16">
                <c:v>7.4875258130331579</c:v>
              </c:pt>
              <c:pt idx="17">
                <c:v>7.9950157990978266</c:v>
              </c:pt>
              <c:pt idx="18">
                <c:v>8.5075007312100723</c:v>
              </c:pt>
              <c:pt idx="19">
                <c:v>9.0250422785365849</c:v>
              </c:pt>
              <c:pt idx="20">
                <c:v>9.5477030274043475</c:v>
              </c:pt>
              <c:pt idx="21">
                <c:v>10.075546497281458</c:v>
              </c:pt>
              <c:pt idx="22">
                <c:v>10.608637157078249</c:v>
              </c:pt>
              <c:pt idx="23">
                <c:v>11.147040441774823</c:v>
              </c:pt>
              <c:pt idx="24">
                <c:v>11.69082276938347</c:v>
              </c:pt>
              <c:pt idx="25">
                <c:v>12.240051558252777</c:v>
              </c:pt>
              <c:pt idx="26">
                <c:v>12.794795244721485</c:v>
              </c:pt>
              <c:pt idx="27">
                <c:v>13.355123301130504</c:v>
              </c:pt>
              <c:pt idx="28">
                <c:v>13.921106254200346</c:v>
              </c:pt>
              <c:pt idx="29">
                <c:v>14.492815703783625</c:v>
              </c:pt>
              <c:pt idx="30">
                <c:v>15.070324341999891</c:v>
              </c:pt>
              <c:pt idx="31">
                <c:v>15.653705972762939</c:v>
              </c:pt>
              <c:pt idx="32">
                <c:v>16.243035531708689</c:v>
              </c:pt>
              <c:pt idx="33">
                <c:v>16.838389106533391</c:v>
              </c:pt>
              <c:pt idx="34">
                <c:v>17.439843957751886</c:v>
              </c:pt>
              <c:pt idx="35">
                <c:v>18.047478539885127</c:v>
              </c:pt>
              <c:pt idx="36">
                <c:v>18.66137252308776</c:v>
              </c:pt>
              <c:pt idx="37">
                <c:v>19.281606815225341</c:v>
              </c:pt>
              <c:pt idx="38">
                <c:v>19.908263584412488</c:v>
              </c:pt>
              <c:pt idx="39">
                <c:v>20.541426282022307</c:v>
              </c:pt>
              <c:pt idx="40">
                <c:v>21.181179666178402</c:v>
              </c:pt>
              <c:pt idx="41">
                <c:v>21.827609825741298</c:v>
              </c:pt>
              <c:pt idx="42">
                <c:v>22.480804204800197</c:v>
              </c:pt>
              <c:pt idx="43">
                <c:v>23.140851627683226</c:v>
              </c:pt>
              <c:pt idx="44">
                <c:v>23.807842324497472</c:v>
              </c:pt>
              <c:pt idx="45">
                <c:v>24.481867957212526</c:v>
              </c:pt>
              <c:pt idx="46">
                <c:v>25.163021646299651</c:v>
              </c:pt>
              <c:pt idx="47">
                <c:v>25.851397997940943</c:v>
              </c:pt>
              <c:pt idx="48">
                <c:v>26.547093131821587</c:v>
              </c:pt>
              <c:pt idx="49">
                <c:v>27.250204709519359</c:v>
              </c:pt>
              <c:pt idx="50">
                <c:v>27.960831963506671</c:v>
              </c:pt>
              <c:pt idx="51">
                <c:v>28.679075726778862</c:v>
              </c:pt>
              <c:pt idx="52">
                <c:v>29.405038463125582</c:v>
              </c:pt>
              <c:pt idx="53">
                <c:v>30.138824298059244</c:v>
              </c:pt>
              <c:pt idx="54">
                <c:v>30.880539050418715</c:v>
              </c:pt>
              <c:pt idx="55">
                <c:v>31.630290264663213</c:v>
              </c:pt>
              <c:pt idx="56">
                <c:v>32.388187243874214</c:v>
              </c:pt>
              <c:pt idx="57">
                <c:v>33.154341083483459</c:v>
              </c:pt>
              <c:pt idx="58">
                <c:v>33.928864705743742</c:v>
              </c:pt>
              <c:pt idx="59">
                <c:v>34.711872894962745</c:v>
              </c:pt>
              <c:pt idx="60">
                <c:v>35.503482333517454</c:v>
              </c:pt>
              <c:pt idx="61">
                <c:v>36.303811638669806</c:v>
              </c:pt>
              <c:pt idx="62">
                <c:v>37.112981400203452</c:v>
              </c:pt>
              <c:pt idx="63">
                <c:v>37.931114218901875</c:v>
              </c:pt>
              <c:pt idx="64">
                <c:v>38.758334745890373</c:v>
              </c:pt>
              <c:pt idx="65">
                <c:v>39.594769722862203</c:v>
              </c:pt>
              <c:pt idx="66">
                <c:v>40.440548023213154</c:v>
              </c:pt>
              <c:pt idx="67">
                <c:v>41.295800694106418</c:v>
              </c:pt>
              <c:pt idx="68">
                <c:v>42.160660999492329</c:v>
              </c:pt>
              <c:pt idx="69">
                <c:v>43.035264464107378</c:v>
              </c:pt>
              <c:pt idx="70">
                <c:v>43.919748918477389</c:v>
              </c:pt>
              <c:pt idx="71">
                <c:v>44.814254544951559</c:v>
              </c:pt>
              <c:pt idx="72">
                <c:v>45.718923924793394</c:v>
              </c:pt>
              <c:pt idx="73">
                <c:v>46.633902086356812</c:v>
              </c:pt>
              <c:pt idx="74">
                <c:v>47.559336554374298</c:v>
              </c:pt>
              <c:pt idx="75">
                <c:v>48.495377400388598</c:v>
              </c:pt>
              <c:pt idx="76">
                <c:v>49.442177294355325</c:v>
              </c:pt>
              <c:pt idx="77">
                <c:v>50.399891557449386</c:v>
              </c:pt>
              <c:pt idx="78">
                <c:v>51.368678216106176</c:v>
              </c:pt>
              <c:pt idx="79">
                <c:v>52.348698057329791</c:v>
              </c:pt>
              <c:pt idx="80">
                <c:v>53.34011468530344</c:v>
              </c:pt>
              <c:pt idx="81">
                <c:v>54.343094579334931</c:v>
              </c:pt>
              <c:pt idx="82">
                <c:v>55.357807153174726</c:v>
              </c:pt>
              <c:pt idx="83">
                <c:v>56.384424815741973</c:v>
              </c:pt>
              <c:pt idx="84">
                <c:v>57.423123033297479</c:v>
              </c:pt>
              <c:pt idx="85">
                <c:v>58.474080393101886</c:v>
              </c:pt>
              <c:pt idx="86">
                <c:v>59.537478668599952</c:v>
              </c:pt>
              <c:pt idx="87">
                <c:v>60.613502886172213</c:v>
              </c:pt>
              <c:pt idx="88">
                <c:v>61.702341393496269</c:v>
              </c:pt>
              <c:pt idx="89">
                <c:v>62.80418592956304</c:v>
              </c:pt>
              <c:pt idx="90">
                <c:v>63.919231696391471</c:v>
              </c:pt>
              <c:pt idx="91">
                <c:v>65.047677432490545</c:v>
              </c:pt>
              <c:pt idx="92">
                <c:v>66.189725488115513</c:v>
              </c:pt>
              <c:pt idx="93">
                <c:v>67.345581902368039</c:v>
              </c:pt>
              <c:pt idx="94">
                <c:v>68.515456482192775</c:v>
              </c:pt>
              <c:pt idx="95">
                <c:v>69.699562883321761</c:v>
              </c:pt>
              <c:pt idx="96">
                <c:v>70.898118693222628</c:v>
              </c:pt>
              <c:pt idx="97">
                <c:v>72.111345516105033</c:v>
              </c:pt>
              <c:pt idx="98">
                <c:v>73.339469060045658</c:v>
              </c:pt>
              <c:pt idx="99">
                <c:v>74.582719226289768</c:v>
              </c:pt>
            </c:numLit>
          </c:xVal>
          <c:yVal>
            <c:numLit>
              <c:formatCode>General</c:formatCode>
              <c:ptCount val="100"/>
              <c:pt idx="0">
                <c:v>84.804766926272634</c:v>
              </c:pt>
              <c:pt idx="1">
                <c:v>83.964648791211459</c:v>
              </c:pt>
              <c:pt idx="2">
                <c:v>83.124530656150228</c:v>
              </c:pt>
              <c:pt idx="3">
                <c:v>82.284412521089052</c:v>
              </c:pt>
              <c:pt idx="4">
                <c:v>81.444294386027821</c:v>
              </c:pt>
              <c:pt idx="5">
                <c:v>80.604176250966646</c:v>
              </c:pt>
              <c:pt idx="6">
                <c:v>79.764058115905414</c:v>
              </c:pt>
              <c:pt idx="7">
                <c:v>78.923939980844239</c:v>
              </c:pt>
              <c:pt idx="8">
                <c:v>78.083821845783064</c:v>
              </c:pt>
              <c:pt idx="9">
                <c:v>77.243703710721832</c:v>
              </c:pt>
              <c:pt idx="10">
                <c:v>76.403585575660657</c:v>
              </c:pt>
              <c:pt idx="11">
                <c:v>75.563467440599425</c:v>
              </c:pt>
              <c:pt idx="12">
                <c:v>74.72334930553825</c:v>
              </c:pt>
              <c:pt idx="13">
                <c:v>73.883231170477018</c:v>
              </c:pt>
              <c:pt idx="14">
                <c:v>73.043113035415843</c:v>
              </c:pt>
              <c:pt idx="15">
                <c:v>72.202994900354611</c:v>
              </c:pt>
              <c:pt idx="16">
                <c:v>71.362876765293436</c:v>
              </c:pt>
              <c:pt idx="17">
                <c:v>70.522758630232261</c:v>
              </c:pt>
              <c:pt idx="18">
                <c:v>69.682640495171029</c:v>
              </c:pt>
              <c:pt idx="19">
                <c:v>68.842522360109854</c:v>
              </c:pt>
              <c:pt idx="20">
                <c:v>68.002404225048622</c:v>
              </c:pt>
              <c:pt idx="21">
                <c:v>67.162286089987447</c:v>
              </c:pt>
              <c:pt idx="22">
                <c:v>66.322167954926215</c:v>
              </c:pt>
              <c:pt idx="23">
                <c:v>65.48204981986504</c:v>
              </c:pt>
              <c:pt idx="24">
                <c:v>64.641931684803865</c:v>
              </c:pt>
              <c:pt idx="25">
                <c:v>63.801813549742633</c:v>
              </c:pt>
              <c:pt idx="26">
                <c:v>62.961695414681458</c:v>
              </c:pt>
              <c:pt idx="27">
                <c:v>62.121577279620226</c:v>
              </c:pt>
              <c:pt idx="28">
                <c:v>61.281459144559051</c:v>
              </c:pt>
              <c:pt idx="29">
                <c:v>60.441341009497819</c:v>
              </c:pt>
              <c:pt idx="30">
                <c:v>59.601222874436644</c:v>
              </c:pt>
              <c:pt idx="31">
                <c:v>58.761104739375469</c:v>
              </c:pt>
              <c:pt idx="32">
                <c:v>57.920986604314237</c:v>
              </c:pt>
              <c:pt idx="33">
                <c:v>57.080868469253062</c:v>
              </c:pt>
              <c:pt idx="34">
                <c:v>56.24075033419183</c:v>
              </c:pt>
              <c:pt idx="35">
                <c:v>55.400632199130655</c:v>
              </c:pt>
              <c:pt idx="36">
                <c:v>54.560514064069423</c:v>
              </c:pt>
              <c:pt idx="37">
                <c:v>53.720395929008248</c:v>
              </c:pt>
              <c:pt idx="38">
                <c:v>52.880277793947073</c:v>
              </c:pt>
              <c:pt idx="39">
                <c:v>52.040159658885841</c:v>
              </c:pt>
              <c:pt idx="40">
                <c:v>51.200041523824666</c:v>
              </c:pt>
              <c:pt idx="41">
                <c:v>50.359923388763434</c:v>
              </c:pt>
              <c:pt idx="42">
                <c:v>49.519805253702259</c:v>
              </c:pt>
              <c:pt idx="43">
                <c:v>48.679687118641027</c:v>
              </c:pt>
              <c:pt idx="44">
                <c:v>47.839568983579852</c:v>
              </c:pt>
              <c:pt idx="45">
                <c:v>46.99945084851862</c:v>
              </c:pt>
              <c:pt idx="46">
                <c:v>46.159332713457445</c:v>
              </c:pt>
              <c:pt idx="47">
                <c:v>45.31921457839627</c:v>
              </c:pt>
              <c:pt idx="48">
                <c:v>44.479096443335038</c:v>
              </c:pt>
              <c:pt idx="49">
                <c:v>43.638978308273863</c:v>
              </c:pt>
              <c:pt idx="50">
                <c:v>42.798860173212631</c:v>
              </c:pt>
              <c:pt idx="51">
                <c:v>41.958742038151456</c:v>
              </c:pt>
              <c:pt idx="52">
                <c:v>41.118623903090224</c:v>
              </c:pt>
              <c:pt idx="53">
                <c:v>40.278505768029049</c:v>
              </c:pt>
              <c:pt idx="54">
                <c:v>39.438387632967874</c:v>
              </c:pt>
              <c:pt idx="55">
                <c:v>38.598269497906642</c:v>
              </c:pt>
              <c:pt idx="56">
                <c:v>37.758151362845467</c:v>
              </c:pt>
              <c:pt idx="57">
                <c:v>36.918033227784235</c:v>
              </c:pt>
              <c:pt idx="58">
                <c:v>36.07791509272306</c:v>
              </c:pt>
              <c:pt idx="59">
                <c:v>35.237796957661828</c:v>
              </c:pt>
              <c:pt idx="60">
                <c:v>34.397678822600653</c:v>
              </c:pt>
              <c:pt idx="61">
                <c:v>33.557560687539478</c:v>
              </c:pt>
              <c:pt idx="62">
                <c:v>32.717442552478246</c:v>
              </c:pt>
              <c:pt idx="63">
                <c:v>31.877324417417071</c:v>
              </c:pt>
              <c:pt idx="64">
                <c:v>31.037206282355839</c:v>
              </c:pt>
              <c:pt idx="65">
                <c:v>30.197088147294664</c:v>
              </c:pt>
              <c:pt idx="66">
                <c:v>29.356970012233432</c:v>
              </c:pt>
              <c:pt idx="67">
                <c:v>28.516851877172257</c:v>
              </c:pt>
              <c:pt idx="68">
                <c:v>27.676733742111082</c:v>
              </c:pt>
              <c:pt idx="69">
                <c:v>26.83661560704985</c:v>
              </c:pt>
              <c:pt idx="70">
                <c:v>25.996497471988675</c:v>
              </c:pt>
              <c:pt idx="71">
                <c:v>25.156379336927444</c:v>
              </c:pt>
              <c:pt idx="72">
                <c:v>24.316261201866268</c:v>
              </c:pt>
              <c:pt idx="73">
                <c:v>23.476143066805037</c:v>
              </c:pt>
              <c:pt idx="74">
                <c:v>22.636024931743862</c:v>
              </c:pt>
              <c:pt idx="75">
                <c:v>21.79590679668263</c:v>
              </c:pt>
              <c:pt idx="76">
                <c:v>20.955788661621455</c:v>
              </c:pt>
              <c:pt idx="77">
                <c:v>20.11567052656028</c:v>
              </c:pt>
              <c:pt idx="78">
                <c:v>19.275552391499048</c:v>
              </c:pt>
              <c:pt idx="79">
                <c:v>18.435434256437873</c:v>
              </c:pt>
              <c:pt idx="80">
                <c:v>17.595316121376641</c:v>
              </c:pt>
              <c:pt idx="81">
                <c:v>16.755197986315466</c:v>
              </c:pt>
              <c:pt idx="82">
                <c:v>15.915079851254234</c:v>
              </c:pt>
              <c:pt idx="83">
                <c:v>15.074961716193059</c:v>
              </c:pt>
              <c:pt idx="84">
                <c:v>14.234843581131884</c:v>
              </c:pt>
              <c:pt idx="85">
                <c:v>13.394725446070652</c:v>
              </c:pt>
              <c:pt idx="86">
                <c:v>12.554607311009477</c:v>
              </c:pt>
              <c:pt idx="87">
                <c:v>11.714489175948245</c:v>
              </c:pt>
              <c:pt idx="88">
                <c:v>10.87437104088707</c:v>
              </c:pt>
              <c:pt idx="89">
                <c:v>10.034252905825838</c:v>
              </c:pt>
              <c:pt idx="90">
                <c:v>9.1941347707646628</c:v>
              </c:pt>
              <c:pt idx="91">
                <c:v>8.3540166357034877</c:v>
              </c:pt>
              <c:pt idx="92">
                <c:v>7.5138985006422558</c:v>
              </c:pt>
              <c:pt idx="93">
                <c:v>6.6737803655810808</c:v>
              </c:pt>
              <c:pt idx="94">
                <c:v>5.8336622305198489</c:v>
              </c:pt>
              <c:pt idx="95">
                <c:v>4.9935440954586738</c:v>
              </c:pt>
              <c:pt idx="96">
                <c:v>4.1534259603974419</c:v>
              </c:pt>
              <c:pt idx="97">
                <c:v>3.3133078253362669</c:v>
              </c:pt>
              <c:pt idx="98">
                <c:v>2.4731896902750918</c:v>
              </c:pt>
              <c:pt idx="99">
                <c:v>1.6330715552138599</c:v>
              </c:pt>
            </c:numLit>
          </c:yVal>
          <c:smooth val="0"/>
          <c:extLst>
            <c:ext xmlns:c16="http://schemas.microsoft.com/office/drawing/2014/chart" uri="{C3380CC4-5D6E-409C-BE32-E72D297353CC}">
              <c16:uniqueId val="{00000000-B794-4110-A463-06015F2E29AF}"/>
            </c:ext>
          </c:extLst>
        </c:ser>
        <c:ser>
          <c:idx val="1"/>
          <c:order val="1"/>
          <c:tx>
            <c:v>Eclise Time</c:v>
          </c:tx>
          <c:spPr>
            <a:ln w="34925" cap="rnd">
              <a:solidFill>
                <a:schemeClr val="accent2"/>
              </a:solidFill>
              <a:round/>
            </a:ln>
            <a:effectLst>
              <a:outerShdw blurRad="40000" dist="23000" dir="5400000" rotWithShape="0">
                <a:srgbClr val="000000">
                  <a:alpha val="35000"/>
                </a:srgbClr>
              </a:outerShdw>
            </a:effectLst>
          </c:spPr>
          <c:marker>
            <c:symbol val="none"/>
          </c:marker>
          <c:xVal>
            <c:numLit>
              <c:formatCode>General</c:formatCode>
              <c:ptCount val="100"/>
              <c:pt idx="0">
                <c:v>38.4</c:v>
              </c:pt>
              <c:pt idx="1">
                <c:v>38.4</c:v>
              </c:pt>
              <c:pt idx="2">
                <c:v>38.4</c:v>
              </c:pt>
              <c:pt idx="3">
                <c:v>38.4</c:v>
              </c:pt>
              <c:pt idx="4">
                <c:v>38.4</c:v>
              </c:pt>
              <c:pt idx="5">
                <c:v>38.4</c:v>
              </c:pt>
              <c:pt idx="6">
                <c:v>38.4</c:v>
              </c:pt>
              <c:pt idx="7">
                <c:v>38.4</c:v>
              </c:pt>
              <c:pt idx="8">
                <c:v>38.4</c:v>
              </c:pt>
              <c:pt idx="9">
                <c:v>38.4</c:v>
              </c:pt>
              <c:pt idx="10">
                <c:v>38.4</c:v>
              </c:pt>
              <c:pt idx="11">
                <c:v>38.4</c:v>
              </c:pt>
              <c:pt idx="12">
                <c:v>38.4</c:v>
              </c:pt>
              <c:pt idx="13">
                <c:v>38.4</c:v>
              </c:pt>
              <c:pt idx="14">
                <c:v>38.4</c:v>
              </c:pt>
              <c:pt idx="15">
                <c:v>38.4</c:v>
              </c:pt>
              <c:pt idx="16">
                <c:v>38.4</c:v>
              </c:pt>
              <c:pt idx="17">
                <c:v>38.4</c:v>
              </c:pt>
              <c:pt idx="18">
                <c:v>38.4</c:v>
              </c:pt>
              <c:pt idx="19">
                <c:v>38.4</c:v>
              </c:pt>
              <c:pt idx="20">
                <c:v>38.4</c:v>
              </c:pt>
              <c:pt idx="21">
                <c:v>38.4</c:v>
              </c:pt>
              <c:pt idx="22">
                <c:v>38.4</c:v>
              </c:pt>
              <c:pt idx="23">
                <c:v>38.4</c:v>
              </c:pt>
              <c:pt idx="24">
                <c:v>38.4</c:v>
              </c:pt>
              <c:pt idx="25">
                <c:v>38.4</c:v>
              </c:pt>
              <c:pt idx="26">
                <c:v>38.4</c:v>
              </c:pt>
              <c:pt idx="27">
                <c:v>38.4</c:v>
              </c:pt>
              <c:pt idx="28">
                <c:v>38.4</c:v>
              </c:pt>
              <c:pt idx="29">
                <c:v>38.4</c:v>
              </c:pt>
              <c:pt idx="30">
                <c:v>38.4</c:v>
              </c:pt>
              <c:pt idx="31">
                <c:v>38.4</c:v>
              </c:pt>
              <c:pt idx="32">
                <c:v>38.4</c:v>
              </c:pt>
              <c:pt idx="33">
                <c:v>38.4</c:v>
              </c:pt>
              <c:pt idx="34">
                <c:v>38.4</c:v>
              </c:pt>
              <c:pt idx="35">
                <c:v>38.4</c:v>
              </c:pt>
              <c:pt idx="36">
                <c:v>38.4</c:v>
              </c:pt>
              <c:pt idx="37">
                <c:v>38.4</c:v>
              </c:pt>
              <c:pt idx="38">
                <c:v>38.4</c:v>
              </c:pt>
              <c:pt idx="39">
                <c:v>38.4</c:v>
              </c:pt>
              <c:pt idx="40">
                <c:v>38.4</c:v>
              </c:pt>
              <c:pt idx="41">
                <c:v>38.4</c:v>
              </c:pt>
              <c:pt idx="42">
                <c:v>38.4</c:v>
              </c:pt>
              <c:pt idx="43">
                <c:v>38.4</c:v>
              </c:pt>
              <c:pt idx="44">
                <c:v>38.4</c:v>
              </c:pt>
              <c:pt idx="45">
                <c:v>38.4</c:v>
              </c:pt>
              <c:pt idx="46">
                <c:v>38.4</c:v>
              </c:pt>
              <c:pt idx="47">
                <c:v>38.4</c:v>
              </c:pt>
              <c:pt idx="48">
                <c:v>38.4</c:v>
              </c:pt>
              <c:pt idx="49">
                <c:v>38.4</c:v>
              </c:pt>
              <c:pt idx="50">
                <c:v>38.4</c:v>
              </c:pt>
              <c:pt idx="51">
                <c:v>38.4</c:v>
              </c:pt>
              <c:pt idx="52">
                <c:v>38.4</c:v>
              </c:pt>
              <c:pt idx="53">
                <c:v>38.4</c:v>
              </c:pt>
              <c:pt idx="54">
                <c:v>38.4</c:v>
              </c:pt>
              <c:pt idx="55">
                <c:v>38.4</c:v>
              </c:pt>
              <c:pt idx="56">
                <c:v>38.4</c:v>
              </c:pt>
              <c:pt idx="57">
                <c:v>38.4</c:v>
              </c:pt>
              <c:pt idx="58">
                <c:v>38.4</c:v>
              </c:pt>
              <c:pt idx="59">
                <c:v>38.4</c:v>
              </c:pt>
              <c:pt idx="60">
                <c:v>38.4</c:v>
              </c:pt>
              <c:pt idx="61">
                <c:v>38.4</c:v>
              </c:pt>
              <c:pt idx="62">
                <c:v>38.4</c:v>
              </c:pt>
              <c:pt idx="63">
                <c:v>38.4</c:v>
              </c:pt>
              <c:pt idx="64">
                <c:v>38.4</c:v>
              </c:pt>
              <c:pt idx="65">
                <c:v>38.4</c:v>
              </c:pt>
              <c:pt idx="66">
                <c:v>38.4</c:v>
              </c:pt>
              <c:pt idx="67">
                <c:v>38.4</c:v>
              </c:pt>
              <c:pt idx="68">
                <c:v>38.4</c:v>
              </c:pt>
              <c:pt idx="69">
                <c:v>38.4</c:v>
              </c:pt>
              <c:pt idx="70">
                <c:v>38.4</c:v>
              </c:pt>
              <c:pt idx="71">
                <c:v>38.4</c:v>
              </c:pt>
              <c:pt idx="72">
                <c:v>38.4</c:v>
              </c:pt>
              <c:pt idx="73">
                <c:v>38.4</c:v>
              </c:pt>
              <c:pt idx="74">
                <c:v>38.4</c:v>
              </c:pt>
              <c:pt idx="75">
                <c:v>38.4</c:v>
              </c:pt>
              <c:pt idx="76">
                <c:v>38.4</c:v>
              </c:pt>
              <c:pt idx="77">
                <c:v>38.4</c:v>
              </c:pt>
              <c:pt idx="78">
                <c:v>38.4</c:v>
              </c:pt>
              <c:pt idx="79">
                <c:v>38.4</c:v>
              </c:pt>
              <c:pt idx="80">
                <c:v>38.4</c:v>
              </c:pt>
              <c:pt idx="81">
                <c:v>38.4</c:v>
              </c:pt>
              <c:pt idx="82">
                <c:v>38.4</c:v>
              </c:pt>
              <c:pt idx="83">
                <c:v>38.4</c:v>
              </c:pt>
              <c:pt idx="84">
                <c:v>38.4</c:v>
              </c:pt>
              <c:pt idx="85">
                <c:v>38.4</c:v>
              </c:pt>
              <c:pt idx="86">
                <c:v>38.4</c:v>
              </c:pt>
              <c:pt idx="87">
                <c:v>38.4</c:v>
              </c:pt>
              <c:pt idx="88">
                <c:v>38.4</c:v>
              </c:pt>
              <c:pt idx="89">
                <c:v>38.4</c:v>
              </c:pt>
              <c:pt idx="90">
                <c:v>38.4</c:v>
              </c:pt>
              <c:pt idx="91">
                <c:v>38.4</c:v>
              </c:pt>
              <c:pt idx="92">
                <c:v>38.4</c:v>
              </c:pt>
              <c:pt idx="93">
                <c:v>38.4</c:v>
              </c:pt>
              <c:pt idx="94">
                <c:v>38.4</c:v>
              </c:pt>
              <c:pt idx="95">
                <c:v>38.4</c:v>
              </c:pt>
              <c:pt idx="96">
                <c:v>38.4</c:v>
              </c:pt>
              <c:pt idx="97">
                <c:v>38.4</c:v>
              </c:pt>
              <c:pt idx="98">
                <c:v>38.4</c:v>
              </c:pt>
              <c:pt idx="99">
                <c:v>38.4</c:v>
              </c:pt>
            </c:numLit>
          </c:xVal>
          <c:yVal>
            <c:numLit>
              <c:formatCode>General</c:formatCode>
              <c:ptCount val="100"/>
              <c:pt idx="0">
                <c:v>84.804766926272634</c:v>
              </c:pt>
              <c:pt idx="1">
                <c:v>83.964648791211459</c:v>
              </c:pt>
              <c:pt idx="2">
                <c:v>83.124530656150228</c:v>
              </c:pt>
              <c:pt idx="3">
                <c:v>82.284412521089052</c:v>
              </c:pt>
              <c:pt idx="4">
                <c:v>81.444294386027821</c:v>
              </c:pt>
              <c:pt idx="5">
                <c:v>80.604176250966646</c:v>
              </c:pt>
              <c:pt idx="6">
                <c:v>79.764058115905414</c:v>
              </c:pt>
              <c:pt idx="7">
                <c:v>78.923939980844239</c:v>
              </c:pt>
              <c:pt idx="8">
                <c:v>78.083821845783064</c:v>
              </c:pt>
              <c:pt idx="9">
                <c:v>77.243703710721832</c:v>
              </c:pt>
              <c:pt idx="10">
                <c:v>76.403585575660657</c:v>
              </c:pt>
              <c:pt idx="11">
                <c:v>75.563467440599425</c:v>
              </c:pt>
              <c:pt idx="12">
                <c:v>74.72334930553825</c:v>
              </c:pt>
              <c:pt idx="13">
                <c:v>73.883231170477018</c:v>
              </c:pt>
              <c:pt idx="14">
                <c:v>73.043113035415843</c:v>
              </c:pt>
              <c:pt idx="15">
                <c:v>72.202994900354611</c:v>
              </c:pt>
              <c:pt idx="16">
                <c:v>71.362876765293436</c:v>
              </c:pt>
              <c:pt idx="17">
                <c:v>70.522758630232261</c:v>
              </c:pt>
              <c:pt idx="18">
                <c:v>69.682640495171029</c:v>
              </c:pt>
              <c:pt idx="19">
                <c:v>68.842522360109854</c:v>
              </c:pt>
              <c:pt idx="20">
                <c:v>68.002404225048622</c:v>
              </c:pt>
              <c:pt idx="21">
                <c:v>67.162286089987447</c:v>
              </c:pt>
              <c:pt idx="22">
                <c:v>66.322167954926215</c:v>
              </c:pt>
              <c:pt idx="23">
                <c:v>65.48204981986504</c:v>
              </c:pt>
              <c:pt idx="24">
                <c:v>64.641931684803865</c:v>
              </c:pt>
              <c:pt idx="25">
                <c:v>63.801813549742633</c:v>
              </c:pt>
              <c:pt idx="26">
                <c:v>62.961695414681458</c:v>
              </c:pt>
              <c:pt idx="27">
                <c:v>62.121577279620226</c:v>
              </c:pt>
              <c:pt idx="28">
                <c:v>61.281459144559051</c:v>
              </c:pt>
              <c:pt idx="29">
                <c:v>60.441341009497819</c:v>
              </c:pt>
              <c:pt idx="30">
                <c:v>59.601222874436644</c:v>
              </c:pt>
              <c:pt idx="31">
                <c:v>58.761104739375469</c:v>
              </c:pt>
              <c:pt idx="32">
                <c:v>57.920986604314237</c:v>
              </c:pt>
              <c:pt idx="33">
                <c:v>57.080868469253062</c:v>
              </c:pt>
              <c:pt idx="34">
                <c:v>56.24075033419183</c:v>
              </c:pt>
              <c:pt idx="35">
                <c:v>55.400632199130655</c:v>
              </c:pt>
              <c:pt idx="36">
                <c:v>54.560514064069423</c:v>
              </c:pt>
              <c:pt idx="37">
                <c:v>53.720395929008248</c:v>
              </c:pt>
              <c:pt idx="38">
                <c:v>52.880277793947073</c:v>
              </c:pt>
              <c:pt idx="39">
                <c:v>52.040159658885841</c:v>
              </c:pt>
              <c:pt idx="40">
                <c:v>51.200041523824666</c:v>
              </c:pt>
              <c:pt idx="41">
                <c:v>50.359923388763434</c:v>
              </c:pt>
              <c:pt idx="42">
                <c:v>49.519805253702259</c:v>
              </c:pt>
              <c:pt idx="43">
                <c:v>48.679687118641027</c:v>
              </c:pt>
              <c:pt idx="44">
                <c:v>47.839568983579852</c:v>
              </c:pt>
              <c:pt idx="45">
                <c:v>46.99945084851862</c:v>
              </c:pt>
              <c:pt idx="46">
                <c:v>46.159332713457445</c:v>
              </c:pt>
              <c:pt idx="47">
                <c:v>45.31921457839627</c:v>
              </c:pt>
              <c:pt idx="48">
                <c:v>44.479096443335038</c:v>
              </c:pt>
              <c:pt idx="49">
                <c:v>43.638978308273863</c:v>
              </c:pt>
              <c:pt idx="50">
                <c:v>42.798860173212631</c:v>
              </c:pt>
              <c:pt idx="51">
                <c:v>41.958742038151456</c:v>
              </c:pt>
              <c:pt idx="52">
                <c:v>41.118623903090224</c:v>
              </c:pt>
              <c:pt idx="53">
                <c:v>40.278505768029049</c:v>
              </c:pt>
              <c:pt idx="54">
                <c:v>39.438387632967874</c:v>
              </c:pt>
              <c:pt idx="55">
                <c:v>38.598269497906642</c:v>
              </c:pt>
              <c:pt idx="56">
                <c:v>37.758151362845467</c:v>
              </c:pt>
              <c:pt idx="57">
                <c:v>36.918033227784235</c:v>
              </c:pt>
              <c:pt idx="58">
                <c:v>36.07791509272306</c:v>
              </c:pt>
              <c:pt idx="59">
                <c:v>35.237796957661828</c:v>
              </c:pt>
              <c:pt idx="60">
                <c:v>34.397678822600653</c:v>
              </c:pt>
              <c:pt idx="61">
                <c:v>33.557560687539478</c:v>
              </c:pt>
              <c:pt idx="62">
                <c:v>32.717442552478246</c:v>
              </c:pt>
              <c:pt idx="63">
                <c:v>31.877324417417071</c:v>
              </c:pt>
              <c:pt idx="64">
                <c:v>31.037206282355839</c:v>
              </c:pt>
              <c:pt idx="65">
                <c:v>30.197088147294664</c:v>
              </c:pt>
              <c:pt idx="66">
                <c:v>29.356970012233432</c:v>
              </c:pt>
              <c:pt idx="67">
                <c:v>28.516851877172257</c:v>
              </c:pt>
              <c:pt idx="68">
                <c:v>27.676733742111082</c:v>
              </c:pt>
              <c:pt idx="69">
                <c:v>26.83661560704985</c:v>
              </c:pt>
              <c:pt idx="70">
                <c:v>25.996497471988675</c:v>
              </c:pt>
              <c:pt idx="71">
                <c:v>25.156379336927444</c:v>
              </c:pt>
              <c:pt idx="72">
                <c:v>24.316261201866268</c:v>
              </c:pt>
              <c:pt idx="73">
                <c:v>23.476143066805037</c:v>
              </c:pt>
              <c:pt idx="74">
                <c:v>22.636024931743862</c:v>
              </c:pt>
              <c:pt idx="75">
                <c:v>21.79590679668263</c:v>
              </c:pt>
              <c:pt idx="76">
                <c:v>20.955788661621455</c:v>
              </c:pt>
              <c:pt idx="77">
                <c:v>20.11567052656028</c:v>
              </c:pt>
              <c:pt idx="78">
                <c:v>19.275552391499048</c:v>
              </c:pt>
              <c:pt idx="79">
                <c:v>18.435434256437873</c:v>
              </c:pt>
              <c:pt idx="80">
                <c:v>17.595316121376641</c:v>
              </c:pt>
              <c:pt idx="81">
                <c:v>16.755197986315466</c:v>
              </c:pt>
              <c:pt idx="82">
                <c:v>15.915079851254234</c:v>
              </c:pt>
              <c:pt idx="83">
                <c:v>15.074961716193059</c:v>
              </c:pt>
              <c:pt idx="84">
                <c:v>14.234843581131884</c:v>
              </c:pt>
              <c:pt idx="85">
                <c:v>13.394725446070652</c:v>
              </c:pt>
              <c:pt idx="86">
                <c:v>12.554607311009477</c:v>
              </c:pt>
              <c:pt idx="87">
                <c:v>11.714489175948245</c:v>
              </c:pt>
              <c:pt idx="88">
                <c:v>10.87437104088707</c:v>
              </c:pt>
              <c:pt idx="89">
                <c:v>10.034252905825838</c:v>
              </c:pt>
              <c:pt idx="90">
                <c:v>9.1941347707646628</c:v>
              </c:pt>
              <c:pt idx="91">
                <c:v>8.3540166357034877</c:v>
              </c:pt>
              <c:pt idx="92">
                <c:v>7.5138985006422558</c:v>
              </c:pt>
              <c:pt idx="93">
                <c:v>6.6737803655810808</c:v>
              </c:pt>
              <c:pt idx="94">
                <c:v>5.8336622305198489</c:v>
              </c:pt>
              <c:pt idx="95">
                <c:v>4.9935440954586738</c:v>
              </c:pt>
              <c:pt idx="96">
                <c:v>4.1534259603974419</c:v>
              </c:pt>
              <c:pt idx="97">
                <c:v>3.3133078253362669</c:v>
              </c:pt>
              <c:pt idx="98">
                <c:v>2.4731896902750918</c:v>
              </c:pt>
              <c:pt idx="99">
                <c:v>1.6330715552138599</c:v>
              </c:pt>
            </c:numLit>
          </c:yVal>
          <c:smooth val="0"/>
          <c:extLst>
            <c:ext xmlns:c16="http://schemas.microsoft.com/office/drawing/2014/chart" uri="{C3380CC4-5D6E-409C-BE32-E72D297353CC}">
              <c16:uniqueId val="{00000001-B794-4110-A463-06015F2E29AF}"/>
            </c:ext>
          </c:extLst>
        </c:ser>
        <c:dLbls>
          <c:showLegendKey val="0"/>
          <c:showVal val="0"/>
          <c:showCatName val="0"/>
          <c:showSerName val="0"/>
          <c:showPercent val="0"/>
          <c:showBubbleSize val="0"/>
        </c:dLbls>
        <c:axId val="847928448"/>
        <c:axId val="847933368"/>
      </c:scatterChart>
      <c:valAx>
        <c:axId val="847928448"/>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Time[Min]</a:t>
                </a:r>
              </a:p>
            </c:rich>
          </c:tx>
          <c:layout/>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47933368"/>
        <c:crosses val="autoZero"/>
        <c:crossBetween val="midCat"/>
      </c:valAx>
      <c:valAx>
        <c:axId val="84793336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Temperature[C]</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47928448"/>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Temperature Decrease of Spacecraft During Eclipse vs Emissivity</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eps=0,1</c:v>
          </c:tx>
          <c:spPr>
            <a:ln w="349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7.4602692836360287</c:v>
              </c:pt>
              <c:pt idx="2">
                <c:v>15.038729277523982</c:v>
              </c:pt>
              <c:pt idx="3">
                <c:v>22.737732458848615</c:v>
              </c:pt>
              <c:pt idx="4">
                <c:v>30.559687798199644</c:v>
              </c:pt>
              <c:pt idx="5">
                <c:v>38.507062351650617</c:v>
              </c:pt>
              <c:pt idx="6">
                <c:v>46.582382904444181</c:v>
              </c:pt>
              <c:pt idx="7">
                <c:v>54.788237668174567</c:v>
              </c:pt>
              <c:pt idx="8">
                <c:v>63.127278033445492</c:v>
              </c:pt>
              <c:pt idx="9">
                <c:v>71.602220380051037</c:v>
              </c:pt>
              <c:pt idx="10">
                <c:v>80.215847946821484</c:v>
              </c:pt>
              <c:pt idx="11">
                <c:v>88.971012763366602</c:v>
              </c:pt>
              <c:pt idx="12">
                <c:v>97.870637646030033</c:v>
              </c:pt>
              <c:pt idx="13">
                <c:v>106.91771826048041</c:v>
              </c:pt>
              <c:pt idx="14">
                <c:v>116.11532525345559</c:v>
              </c:pt>
              <c:pt idx="15">
                <c:v>125.46660645629377</c:v>
              </c:pt>
              <c:pt idx="16">
                <c:v>134.97478916298479</c:v>
              </c:pt>
              <c:pt idx="17">
                <c:v>144.6431824856011</c:v>
              </c:pt>
              <c:pt idx="18">
                <c:v>154.47517979009231</c:v>
              </c:pt>
              <c:pt idx="19">
                <c:v>164.47426121554383</c:v>
              </c:pt>
              <c:pt idx="20">
                <c:v>174.64399628014851</c:v>
              </c:pt>
              <c:pt idx="21">
                <c:v>184.98804657727155</c:v>
              </c:pt>
              <c:pt idx="22">
                <c:v>195.51016856514602</c:v>
              </c:pt>
              <c:pt idx="23">
                <c:v>206.21421645387963</c:v>
              </c:pt>
              <c:pt idx="24">
                <c:v>217.10414519362604</c:v>
              </c:pt>
              <c:pt idx="25">
                <c:v>228.18401356794581</c:v>
              </c:pt>
              <c:pt idx="26">
                <c:v>239.45798739654816</c:v>
              </c:pt>
              <c:pt idx="27">
                <c:v>250.93034285180738</c:v>
              </c:pt>
              <c:pt idx="28">
                <c:v>262.60546989364229</c:v>
              </c:pt>
              <c:pt idx="29">
                <c:v>274.48787582754176</c:v>
              </c:pt>
              <c:pt idx="30">
                <c:v>286.58218899075689</c:v>
              </c:pt>
              <c:pt idx="31">
                <c:v>298.89316257189085</c:v>
              </c:pt>
              <c:pt idx="32">
                <c:v>311.42567856937256</c:v>
              </c:pt>
              <c:pt idx="33">
                <c:v>324.18475189454125</c:v>
              </c:pt>
              <c:pt idx="34">
                <c:v>337.17553462533749</c:v>
              </c:pt>
              <c:pt idx="35">
                <c:v>350.403320416886</c:v>
              </c:pt>
              <c:pt idx="36">
                <c:v>363.8735490755281</c:v>
              </c:pt>
              <c:pt idx="37">
                <c:v>377.59181130319115</c:v>
              </c:pt>
              <c:pt idx="38">
                <c:v>391.5638536192925</c:v>
              </c:pt>
              <c:pt idx="39">
                <c:v>405.79558346773206</c:v>
              </c:pt>
              <c:pt idx="40">
                <c:v>420.29307451686788</c:v>
              </c:pt>
              <c:pt idx="41">
                <c:v>435.06257216076409</c:v>
              </c:pt>
              <c:pt idx="42">
                <c:v>450.1104992304036</c:v>
              </c:pt>
              <c:pt idx="43">
                <c:v>465.44346192395653</c:v>
              </c:pt>
              <c:pt idx="44">
                <c:v>481.06825596566131</c:v>
              </c:pt>
              <c:pt idx="45">
                <c:v>496.99187300333227</c:v>
              </c:pt>
              <c:pt idx="46">
                <c:v>513.22150725500865</c:v>
              </c:pt>
              <c:pt idx="47">
                <c:v>529.76456241576363</c:v>
              </c:pt>
              <c:pt idx="48">
                <c:v>546.6286588362575</c:v>
              </c:pt>
              <c:pt idx="49">
                <c:v>563.82164098520184</c:v>
              </c:pt>
              <c:pt idx="50">
                <c:v>581.35158520848199</c:v>
              </c:pt>
              <c:pt idx="51">
                <c:v>599.22680779837469</c:v>
              </c:pt>
              <c:pt idx="52">
                <c:v>617.4558733869427</c:v>
              </c:pt>
              <c:pt idx="53">
                <c:v>636.04760367843539</c:v>
              </c:pt>
              <c:pt idx="54">
                <c:v>655.01108653626773</c:v>
              </c:pt>
              <c:pt idx="55">
                <c:v>674.35568544095861</c:v>
              </c:pt>
              <c:pt idx="56">
                <c:v>694.0910493362901</c:v>
              </c:pt>
              <c:pt idx="57">
                <c:v>714.22712288179025</c:v>
              </c:pt>
              <c:pt idx="58">
                <c:v>734.77415713066625</c:v>
              </c:pt>
              <c:pt idx="59">
                <c:v>755.74272065326772</c:v>
              </c:pt>
              <c:pt idx="60">
                <c:v>777.14371112727406</c:v>
              </c:pt>
              <c:pt idx="61">
                <c:v>798.98836741689354</c:v>
              </c:pt>
              <c:pt idx="62">
                <c:v>821.28828216458635</c:v>
              </c:pt>
              <c:pt idx="63">
                <c:v>844.05541492011037</c:v>
              </c:pt>
              <c:pt idx="64">
                <c:v>867.3021058329939</c:v>
              </c:pt>
              <c:pt idx="65">
                <c:v>891.0410899360154</c:v>
              </c:pt>
              <c:pt idx="66">
                <c:v>915.28551204877476</c:v>
              </c:pt>
              <c:pt idx="67">
                <c:v>940.04894233204891</c:v>
              </c:pt>
              <c:pt idx="68">
                <c:v>965.34539252533807</c:v>
              </c:pt>
              <c:pt idx="69">
                <c:v>991.18933290185839</c:v>
              </c:pt>
              <c:pt idx="70">
                <c:v>1017.5957099771196</c:v>
              </c:pt>
              <c:pt idx="71">
                <c:v>1044.5799650093411</c:v>
              </c:pt>
              <c:pt idx="72">
                <c:v>1072.1580533321046</c:v>
              </c:pt>
              <c:pt idx="73">
                <c:v>1100.346464561997</c:v>
              </c:pt>
              <c:pt idx="74">
                <c:v>1129.1622437264712</c:v>
              </c:pt>
              <c:pt idx="75">
                <c:v>1158.623013359773</c:v>
              </c:pt>
              <c:pt idx="76">
                <c:v>1188.7469966176425</c:v>
              </c:pt>
              <c:pt idx="77">
                <c:v>1219.553041464435</c:v>
              </c:pt>
              <c:pt idx="78">
                <c:v>1251.0606459895621</c:v>
              </c:pt>
              <c:pt idx="79">
                <c:v>1283.2899849135213</c:v>
              </c:pt>
              <c:pt idx="80">
                <c:v>1316.2619373474508</c:v>
              </c:pt>
              <c:pt idx="81">
                <c:v>1349.9981158740179</c:v>
              </c:pt>
              <c:pt idx="82">
                <c:v>1384.5208970216038</c:v>
              </c:pt>
              <c:pt idx="83">
                <c:v>1419.8534532081962</c:v>
              </c:pt>
              <c:pt idx="84">
                <c:v>1456.0197862361199</c:v>
              </c:pt>
              <c:pt idx="85">
                <c:v>1493.044762423842</c:v>
              </c:pt>
              <c:pt idx="86">
                <c:v>1530.9541494665013</c:v>
              </c:pt>
              <c:pt idx="87">
                <c:v>1569.7746551226157</c:v>
              </c:pt>
              <c:pt idx="88">
                <c:v>1609.5339678307018</c:v>
              </c:pt>
              <c:pt idx="89">
                <c:v>1650.2607993661429</c:v>
              </c:pt>
              <c:pt idx="90">
                <c:v>1691.9849296558859</c:v>
              </c:pt>
              <c:pt idx="91">
                <c:v>1734.7372538761572</c:v>
              </c:pt>
              <c:pt idx="92">
                <c:v>1778.5498319667161</c:v>
              </c:pt>
              <c:pt idx="93">
                <c:v>1823.4559407039508</c:v>
              </c:pt>
              <c:pt idx="94">
                <c:v>1869.4901284846969</c:v>
              </c:pt>
              <c:pt idx="95">
                <c:v>1916.6882729828997</c:v>
              </c:pt>
              <c:pt idx="96">
                <c:v>1965.0876418522319</c:v>
              </c:pt>
              <c:pt idx="97">
                <c:v>2014.7269566596854</c:v>
              </c:pt>
              <c:pt idx="98">
                <c:v>2065.6464602479209</c:v>
              </c:pt>
              <c:pt idx="99">
                <c:v>2117.8879877379304</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0-468D-405B-94A7-D9E291E45987}"/>
            </c:ext>
          </c:extLst>
        </c:ser>
        <c:ser>
          <c:idx val="1"/>
          <c:order val="1"/>
          <c:tx>
            <c:v>eps=0,2</c:v>
          </c:tx>
          <c:spPr>
            <a:ln w="34925" cap="rnd">
              <a:solidFill>
                <a:schemeClr val="accent2"/>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3.7301346418180144</c:v>
              </c:pt>
              <c:pt idx="2">
                <c:v>7.5193646387619912</c:v>
              </c:pt>
              <c:pt idx="3">
                <c:v>11.368866229424308</c:v>
              </c:pt>
              <c:pt idx="4">
                <c:v>15.279843899099822</c:v>
              </c:pt>
              <c:pt idx="5">
                <c:v>19.253531175825309</c:v>
              </c:pt>
              <c:pt idx="6">
                <c:v>23.29119145222209</c:v>
              </c:pt>
              <c:pt idx="7">
                <c:v>27.394118834087283</c:v>
              </c:pt>
              <c:pt idx="8">
                <c:v>31.563639016722746</c:v>
              </c:pt>
              <c:pt idx="9">
                <c:v>35.801110190025518</c:v>
              </c:pt>
              <c:pt idx="10">
                <c:v>40.107923973410742</c:v>
              </c:pt>
              <c:pt idx="11">
                <c:v>44.485506381683301</c:v>
              </c:pt>
              <c:pt idx="12">
                <c:v>48.935318823015017</c:v>
              </c:pt>
              <c:pt idx="13">
                <c:v>53.458859130240207</c:v>
              </c:pt>
              <c:pt idx="14">
                <c:v>58.057662626727797</c:v>
              </c:pt>
              <c:pt idx="15">
                <c:v>62.733303228146887</c:v>
              </c:pt>
              <c:pt idx="16">
                <c:v>67.487394581492396</c:v>
              </c:pt>
              <c:pt idx="17">
                <c:v>72.321591242800551</c:v>
              </c:pt>
              <c:pt idx="18">
                <c:v>77.237589895046156</c:v>
              </c:pt>
              <c:pt idx="19">
                <c:v>82.237130607771917</c:v>
              </c:pt>
              <c:pt idx="20">
                <c:v>87.321998140074257</c:v>
              </c:pt>
              <c:pt idx="21">
                <c:v>92.494023288635773</c:v>
              </c:pt>
              <c:pt idx="22">
                <c:v>97.755084282573009</c:v>
              </c:pt>
              <c:pt idx="23">
                <c:v>103.10710822693981</c:v>
              </c:pt>
              <c:pt idx="24">
                <c:v>108.55207259681302</c:v>
              </c:pt>
              <c:pt idx="25">
                <c:v>114.09200678397291</c:v>
              </c:pt>
              <c:pt idx="26">
                <c:v>119.72899369827408</c:v>
              </c:pt>
              <c:pt idx="27">
                <c:v>125.46517142590369</c:v>
              </c:pt>
              <c:pt idx="28">
                <c:v>131.30273494682115</c:v>
              </c:pt>
              <c:pt idx="29">
                <c:v>137.24393791377088</c:v>
              </c:pt>
              <c:pt idx="30">
                <c:v>143.29109449537845</c:v>
              </c:pt>
              <c:pt idx="31">
                <c:v>149.44658128594543</c:v>
              </c:pt>
              <c:pt idx="32">
                <c:v>155.71283928468628</c:v>
              </c:pt>
              <c:pt idx="33">
                <c:v>162.09237594727063</c:v>
              </c:pt>
              <c:pt idx="34">
                <c:v>168.58776731266875</c:v>
              </c:pt>
              <c:pt idx="35">
                <c:v>175.201660208443</c:v>
              </c:pt>
              <c:pt idx="36">
                <c:v>181.93677453776405</c:v>
              </c:pt>
              <c:pt idx="37">
                <c:v>188.79590565159558</c:v>
              </c:pt>
              <c:pt idx="38">
                <c:v>195.78192680964625</c:v>
              </c:pt>
              <c:pt idx="39">
                <c:v>202.89779173386603</c:v>
              </c:pt>
              <c:pt idx="40">
                <c:v>210.14653725843394</c:v>
              </c:pt>
              <c:pt idx="41">
                <c:v>217.53128608038205</c:v>
              </c:pt>
              <c:pt idx="42">
                <c:v>225.0552496152018</c:v>
              </c:pt>
              <c:pt idx="43">
                <c:v>232.72173096197827</c:v>
              </c:pt>
              <c:pt idx="44">
                <c:v>240.53412798283065</c:v>
              </c:pt>
              <c:pt idx="45">
                <c:v>248.49593650166614</c:v>
              </c:pt>
              <c:pt idx="46">
                <c:v>256.61075362750432</c:v>
              </c:pt>
              <c:pt idx="47">
                <c:v>264.88228120788182</c:v>
              </c:pt>
              <c:pt idx="48">
                <c:v>273.31432941812875</c:v>
              </c:pt>
              <c:pt idx="49">
                <c:v>281.91082049260092</c:v>
              </c:pt>
              <c:pt idx="50">
                <c:v>290.675792604241</c:v>
              </c:pt>
              <c:pt idx="51">
                <c:v>299.61340389918735</c:v>
              </c:pt>
              <c:pt idx="52">
                <c:v>308.72793669347135</c:v>
              </c:pt>
              <c:pt idx="53">
                <c:v>318.0238018392177</c:v>
              </c:pt>
              <c:pt idx="54">
                <c:v>327.50554326813386</c:v>
              </c:pt>
              <c:pt idx="55">
                <c:v>337.1778427204793</c:v>
              </c:pt>
              <c:pt idx="56">
                <c:v>347.04552466814505</c:v>
              </c:pt>
              <c:pt idx="57">
                <c:v>357.11356144089513</c:v>
              </c:pt>
              <c:pt idx="58">
                <c:v>367.38707856533313</c:v>
              </c:pt>
              <c:pt idx="59">
                <c:v>377.87136032663386</c:v>
              </c:pt>
              <c:pt idx="60">
                <c:v>388.57185556363703</c:v>
              </c:pt>
              <c:pt idx="61">
                <c:v>399.49418370844677</c:v>
              </c:pt>
              <c:pt idx="62">
                <c:v>410.64414108229317</c:v>
              </c:pt>
              <c:pt idx="63">
                <c:v>422.02770746005518</c:v>
              </c:pt>
              <c:pt idx="64">
                <c:v>433.65105291649695</c:v>
              </c:pt>
              <c:pt idx="65">
                <c:v>445.5205449680077</c:v>
              </c:pt>
              <c:pt idx="66">
                <c:v>457.64275602438738</c:v>
              </c:pt>
              <c:pt idx="67">
                <c:v>470.02447116602445</c:v>
              </c:pt>
              <c:pt idx="68">
                <c:v>482.67269626266904</c:v>
              </c:pt>
              <c:pt idx="69">
                <c:v>495.5946664509292</c:v>
              </c:pt>
              <c:pt idx="70">
                <c:v>508.79785498855978</c:v>
              </c:pt>
              <c:pt idx="71">
                <c:v>522.28998250467055</c:v>
              </c:pt>
              <c:pt idx="72">
                <c:v>536.0790266660523</c:v>
              </c:pt>
              <c:pt idx="73">
                <c:v>550.17323228099849</c:v>
              </c:pt>
              <c:pt idx="74">
                <c:v>564.58112186323558</c:v>
              </c:pt>
              <c:pt idx="75">
                <c:v>579.31150667988652</c:v>
              </c:pt>
              <c:pt idx="76">
                <c:v>594.37349830882124</c:v>
              </c:pt>
              <c:pt idx="77">
                <c:v>609.77652073221748</c:v>
              </c:pt>
              <c:pt idx="78">
                <c:v>625.53032299478105</c:v>
              </c:pt>
              <c:pt idx="79">
                <c:v>641.64499245676063</c:v>
              </c:pt>
              <c:pt idx="80">
                <c:v>658.13096867372542</c:v>
              </c:pt>
              <c:pt idx="81">
                <c:v>674.99905793700896</c:v>
              </c:pt>
              <c:pt idx="82">
                <c:v>692.26044851080189</c:v>
              </c:pt>
              <c:pt idx="83">
                <c:v>709.92672660409812</c:v>
              </c:pt>
              <c:pt idx="84">
                <c:v>728.00989311805995</c:v>
              </c:pt>
              <c:pt idx="85">
                <c:v>746.52238121192102</c:v>
              </c:pt>
              <c:pt idx="86">
                <c:v>765.47707473325067</c:v>
              </c:pt>
              <c:pt idx="87">
                <c:v>784.88732756130787</c:v>
              </c:pt>
              <c:pt idx="88">
                <c:v>804.76698391535092</c:v>
              </c:pt>
              <c:pt idx="89">
                <c:v>825.13039968307146</c:v>
              </c:pt>
              <c:pt idx="90">
                <c:v>845.99246482794297</c:v>
              </c:pt>
              <c:pt idx="91">
                <c:v>867.36862693807859</c:v>
              </c:pt>
              <c:pt idx="92">
                <c:v>889.27491598335803</c:v>
              </c:pt>
              <c:pt idx="93">
                <c:v>911.72797035197539</c:v>
              </c:pt>
              <c:pt idx="94">
                <c:v>934.74506424234846</c:v>
              </c:pt>
              <c:pt idx="95">
                <c:v>958.34413649144983</c:v>
              </c:pt>
              <c:pt idx="96">
                <c:v>982.54382092611593</c:v>
              </c:pt>
              <c:pt idx="97">
                <c:v>1007.3634783298427</c:v>
              </c:pt>
              <c:pt idx="98">
                <c:v>1032.8232301239605</c:v>
              </c:pt>
              <c:pt idx="99">
                <c:v>1058.9439938689652</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1-468D-405B-94A7-D9E291E45987}"/>
            </c:ext>
          </c:extLst>
        </c:ser>
        <c:ser>
          <c:idx val="2"/>
          <c:order val="2"/>
          <c:tx>
            <c:v>eps=0,3</c:v>
          </c:tx>
          <c:spPr>
            <a:ln w="34925" cap="rnd">
              <a:solidFill>
                <a:schemeClr val="accent3"/>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2.4867564278786785</c:v>
              </c:pt>
              <c:pt idx="2">
                <c:v>5.0129097591746596</c:v>
              </c:pt>
              <c:pt idx="3">
                <c:v>7.5792441529495402</c:v>
              </c:pt>
              <c:pt idx="4">
                <c:v>10.186562599399883</c:v>
              </c:pt>
              <c:pt idx="5">
                <c:v>12.8356874505502</c:v>
              </c:pt>
              <c:pt idx="6">
                <c:v>15.527460968148056</c:v>
              </c:pt>
              <c:pt idx="7">
                <c:v>18.262745889391535</c:v>
              </c:pt>
              <c:pt idx="8">
                <c:v>21.042426011148496</c:v>
              </c:pt>
              <c:pt idx="9">
                <c:v>23.867406793350344</c:v>
              </c:pt>
              <c:pt idx="10">
                <c:v>26.738615982273817</c:v>
              </c:pt>
              <c:pt idx="11">
                <c:v>29.657004254455526</c:v>
              </c:pt>
              <c:pt idx="12">
                <c:v>32.623545882009992</c:v>
              </c:pt>
              <c:pt idx="13">
                <c:v>35.639239420160145</c:v>
              </c:pt>
              <c:pt idx="14">
                <c:v>38.705108417818529</c:v>
              </c:pt>
              <c:pt idx="15">
                <c:v>41.822202152097937</c:v>
              </c:pt>
              <c:pt idx="16">
                <c:v>44.991596387661623</c:v>
              </c:pt>
              <c:pt idx="17">
                <c:v>48.21439416186702</c:v>
              </c:pt>
              <c:pt idx="18">
                <c:v>51.491726596697433</c:v>
              </c:pt>
              <c:pt idx="19">
                <c:v>54.82475373851458</c:v>
              </c:pt>
              <c:pt idx="20">
                <c:v>58.214665426716188</c:v>
              </c:pt>
              <c:pt idx="21">
                <c:v>61.662682192423866</c:v>
              </c:pt>
              <c:pt idx="22">
                <c:v>65.170056188381992</c:v>
              </c:pt>
              <c:pt idx="23">
                <c:v>68.73807215129321</c:v>
              </c:pt>
              <c:pt idx="24">
                <c:v>72.36804839787537</c:v>
              </c:pt>
              <c:pt idx="25">
                <c:v>76.061337855981932</c:v>
              </c:pt>
              <c:pt idx="26">
                <c:v>79.819329132182702</c:v>
              </c:pt>
              <c:pt idx="27">
                <c:v>83.64344761726916</c:v>
              </c:pt>
              <c:pt idx="28">
                <c:v>87.535156631214107</c:v>
              </c:pt>
              <c:pt idx="29">
                <c:v>91.495958609180619</c:v>
              </c:pt>
              <c:pt idx="30">
                <c:v>95.52739633025233</c:v>
              </c:pt>
              <c:pt idx="31">
                <c:v>99.631054190630252</c:v>
              </c:pt>
              <c:pt idx="32">
                <c:v>103.80855952312422</c:v>
              </c:pt>
              <c:pt idx="33">
                <c:v>108.06158396484709</c:v>
              </c:pt>
              <c:pt idx="34">
                <c:v>112.39184487511248</c:v>
              </c:pt>
              <c:pt idx="35">
                <c:v>116.80110680562865</c:v>
              </c:pt>
              <c:pt idx="36">
                <c:v>121.29118302517603</c:v>
              </c:pt>
              <c:pt idx="37">
                <c:v>125.86393710106364</c:v>
              </c:pt>
              <c:pt idx="38">
                <c:v>130.5212845397642</c:v>
              </c:pt>
              <c:pt idx="39">
                <c:v>135.26519448924401</c:v>
              </c:pt>
              <c:pt idx="40">
                <c:v>140.09769150562255</c:v>
              </c:pt>
              <c:pt idx="41">
                <c:v>145.02085738692128</c:v>
              </c:pt>
              <c:pt idx="42">
                <c:v>150.03683307680123</c:v>
              </c:pt>
              <c:pt idx="43">
                <c:v>155.14782064131882</c:v>
              </c:pt>
              <c:pt idx="44">
                <c:v>160.35608532188715</c:v>
              </c:pt>
              <c:pt idx="45">
                <c:v>165.66395766777742</c:v>
              </c:pt>
              <c:pt idx="46">
                <c:v>171.07383575166952</c:v>
              </c:pt>
              <c:pt idx="47">
                <c:v>176.58818747192115</c:v>
              </c:pt>
              <c:pt idx="48">
                <c:v>182.20955294541915</c:v>
              </c:pt>
              <c:pt idx="49">
                <c:v>187.94054699506722</c:v>
              </c:pt>
              <c:pt idx="50">
                <c:v>193.78386173616056</c:v>
              </c:pt>
              <c:pt idx="51">
                <c:v>199.74226926612479</c:v>
              </c:pt>
              <c:pt idx="52">
                <c:v>205.81862446231409</c:v>
              </c:pt>
              <c:pt idx="53">
                <c:v>212.0158678928118</c:v>
              </c:pt>
              <c:pt idx="54">
                <c:v>218.33702884542245</c:v>
              </c:pt>
              <c:pt idx="55">
                <c:v>224.78522848031963</c:v>
              </c:pt>
              <c:pt idx="56">
                <c:v>231.36368311209677</c:v>
              </c:pt>
              <c:pt idx="57">
                <c:v>238.07570762726348</c:v>
              </c:pt>
              <c:pt idx="58">
                <c:v>244.92471904355543</c:v>
              </c:pt>
              <c:pt idx="59">
                <c:v>251.91424021775586</c:v>
              </c:pt>
              <c:pt idx="60">
                <c:v>259.04790370909154</c:v>
              </c:pt>
              <c:pt idx="61">
                <c:v>266.3294558056312</c:v>
              </c:pt>
              <c:pt idx="62">
                <c:v>273.76276072152876</c:v>
              </c:pt>
              <c:pt idx="63">
                <c:v>281.35180497336995</c:v>
              </c:pt>
              <c:pt idx="64">
                <c:v>289.10070194433132</c:v>
              </c:pt>
              <c:pt idx="65">
                <c:v>297.01369664533837</c:v>
              </c:pt>
              <c:pt idx="66">
                <c:v>305.0951706829249</c:v>
              </c:pt>
              <c:pt idx="67">
                <c:v>313.34964744401623</c:v>
              </c:pt>
              <c:pt idx="68">
                <c:v>321.781797508446</c:v>
              </c:pt>
              <c:pt idx="69">
                <c:v>330.39644430061946</c:v>
              </c:pt>
              <c:pt idx="70">
                <c:v>339.19856999237317</c:v>
              </c:pt>
              <c:pt idx="71">
                <c:v>348.1933216697804</c:v>
              </c:pt>
              <c:pt idx="72">
                <c:v>357.38601777736829</c:v>
              </c:pt>
              <c:pt idx="73">
                <c:v>366.78215485399903</c:v>
              </c:pt>
              <c:pt idx="74">
                <c:v>376.38741457549042</c:v>
              </c:pt>
              <c:pt idx="75">
                <c:v>386.20767111992416</c:v>
              </c:pt>
              <c:pt idx="76">
                <c:v>396.24899887254725</c:v>
              </c:pt>
              <c:pt idx="77">
                <c:v>406.51768048814512</c:v>
              </c:pt>
              <c:pt idx="78">
                <c:v>417.02021532985407</c:v>
              </c:pt>
              <c:pt idx="79">
                <c:v>427.76332830450713</c:v>
              </c:pt>
              <c:pt idx="80">
                <c:v>438.75397911581695</c:v>
              </c:pt>
              <c:pt idx="81">
                <c:v>449.9993719580059</c:v>
              </c:pt>
              <c:pt idx="82">
                <c:v>461.50696567386785</c:v>
              </c:pt>
              <c:pt idx="83">
                <c:v>473.28448440273195</c:v>
              </c:pt>
              <c:pt idx="84">
                <c:v>485.33992874537341</c:v>
              </c:pt>
              <c:pt idx="85">
                <c:v>497.68158747461416</c:v>
              </c:pt>
              <c:pt idx="86">
                <c:v>510.31804982216687</c:v>
              </c:pt>
              <c:pt idx="87">
                <c:v>523.25821837420517</c:v>
              </c:pt>
              <c:pt idx="88">
                <c:v>536.51132261023383</c:v>
              </c:pt>
              <c:pt idx="89">
                <c:v>550.08693312204787</c:v>
              </c:pt>
              <c:pt idx="90">
                <c:v>563.99497655196183</c:v>
              </c:pt>
              <c:pt idx="91">
                <c:v>578.24575129205209</c:v>
              </c:pt>
              <c:pt idx="92">
                <c:v>592.84994398890547</c:v>
              </c:pt>
              <c:pt idx="93">
                <c:v>607.81864690131681</c:v>
              </c:pt>
              <c:pt idx="94">
                <c:v>623.16337616156568</c:v>
              </c:pt>
              <c:pt idx="95">
                <c:v>638.89609099429993</c:v>
              </c:pt>
              <c:pt idx="96">
                <c:v>655.02921395074418</c:v>
              </c:pt>
              <c:pt idx="97">
                <c:v>671.57565221989501</c:v>
              </c:pt>
              <c:pt idx="98">
                <c:v>688.54882008264019</c:v>
              </c:pt>
              <c:pt idx="99">
                <c:v>705.96266257930984</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2-468D-405B-94A7-D9E291E45987}"/>
            </c:ext>
          </c:extLst>
        </c:ser>
        <c:ser>
          <c:idx val="3"/>
          <c:order val="3"/>
          <c:tx>
            <c:v>eps=0,4</c:v>
          </c:tx>
          <c:spPr>
            <a:ln w="34925" cap="rnd">
              <a:solidFill>
                <a:schemeClr val="accent4"/>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1.8650673209090072</c:v>
              </c:pt>
              <c:pt idx="2">
                <c:v>3.7596823193809956</c:v>
              </c:pt>
              <c:pt idx="3">
                <c:v>5.6844331147121538</c:v>
              </c:pt>
              <c:pt idx="4">
                <c:v>7.6399219495499109</c:v>
              </c:pt>
              <c:pt idx="5">
                <c:v>9.6267655879126544</c:v>
              </c:pt>
              <c:pt idx="6">
                <c:v>11.645595726111045</c:v>
              </c:pt>
              <c:pt idx="7">
                <c:v>13.697059417043642</c:v>
              </c:pt>
              <c:pt idx="8">
                <c:v>15.781819508361373</c:v>
              </c:pt>
              <c:pt idx="9">
                <c:v>17.900555095012759</c:v>
              </c:pt>
              <c:pt idx="10">
                <c:v>20.053961986705371</c:v>
              </c:pt>
              <c:pt idx="11">
                <c:v>22.24275319084165</c:v>
              </c:pt>
              <c:pt idx="12">
                <c:v>24.467659411507508</c:v>
              </c:pt>
              <c:pt idx="13">
                <c:v>26.729429565120103</c:v>
              </c:pt>
              <c:pt idx="14">
                <c:v>29.028831313363899</c:v>
              </c:pt>
              <c:pt idx="15">
                <c:v>31.366651614073444</c:v>
              </c:pt>
              <c:pt idx="16">
                <c:v>33.743697290746198</c:v>
              </c:pt>
              <c:pt idx="17">
                <c:v>36.160795621400275</c:v>
              </c:pt>
              <c:pt idx="18">
                <c:v>38.618794947523078</c:v>
              </c:pt>
              <c:pt idx="19">
                <c:v>41.118565303885958</c:v>
              </c:pt>
              <c:pt idx="20">
                <c:v>43.660999070037128</c:v>
              </c:pt>
              <c:pt idx="21">
                <c:v>46.247011644317887</c:v>
              </c:pt>
              <c:pt idx="22">
                <c:v>48.877542141286504</c:v>
              </c:pt>
              <c:pt idx="23">
                <c:v>51.553554113469907</c:v>
              </c:pt>
              <c:pt idx="24">
                <c:v>54.27603629840651</c:v>
              </c:pt>
              <c:pt idx="25">
                <c:v>57.046003391986453</c:v>
              </c:pt>
              <c:pt idx="26">
                <c:v>59.864496849137041</c:v>
              </c:pt>
              <c:pt idx="27">
                <c:v>62.732585712951845</c:v>
              </c:pt>
              <c:pt idx="28">
                <c:v>65.651367473410573</c:v>
              </c:pt>
              <c:pt idx="29">
                <c:v>68.621968956885439</c:v>
              </c:pt>
              <c:pt idx="30">
                <c:v>71.645547247689223</c:v>
              </c:pt>
              <c:pt idx="31">
                <c:v>74.723290642972714</c:v>
              </c:pt>
              <c:pt idx="32">
                <c:v>77.856419642343141</c:v>
              </c:pt>
              <c:pt idx="33">
                <c:v>81.046187973635313</c:v>
              </c:pt>
              <c:pt idx="34">
                <c:v>84.293883656334373</c:v>
              </c:pt>
              <c:pt idx="35">
                <c:v>87.600830104221501</c:v>
              </c:pt>
              <c:pt idx="36">
                <c:v>90.968387268882026</c:v>
              </c:pt>
              <c:pt idx="37">
                <c:v>94.397952825797788</c:v>
              </c:pt>
              <c:pt idx="38">
                <c:v>97.890963404823125</c:v>
              </c:pt>
              <c:pt idx="39">
                <c:v>101.44889586693301</c:v>
              </c:pt>
              <c:pt idx="40">
                <c:v>105.07326862921697</c:v>
              </c:pt>
              <c:pt idx="41">
                <c:v>108.76564304019102</c:v>
              </c:pt>
              <c:pt idx="42">
                <c:v>112.5276248076009</c:v>
              </c:pt>
              <c:pt idx="43">
                <c:v>116.36086548098913</c:v>
              </c:pt>
              <c:pt idx="44">
                <c:v>120.26706399141533</c:v>
              </c:pt>
              <c:pt idx="45">
                <c:v>124.24796825083307</c:v>
              </c:pt>
              <c:pt idx="46">
                <c:v>128.30537681375216</c:v>
              </c:pt>
              <c:pt idx="47">
                <c:v>132.44114060394091</c:v>
              </c:pt>
              <c:pt idx="48">
                <c:v>136.65716470906438</c:v>
              </c:pt>
              <c:pt idx="49">
                <c:v>140.95541024630046</c:v>
              </c:pt>
              <c:pt idx="50">
                <c:v>145.3378963021205</c:v>
              </c:pt>
              <c:pt idx="51">
                <c:v>149.80670194959367</c:v>
              </c:pt>
              <c:pt idx="52">
                <c:v>154.36396834673567</c:v>
              </c:pt>
              <c:pt idx="53">
                <c:v>159.01190091960885</c:v>
              </c:pt>
              <c:pt idx="54">
                <c:v>163.75277163406693</c:v>
              </c:pt>
              <c:pt idx="55">
                <c:v>168.58892136023965</c:v>
              </c:pt>
              <c:pt idx="56">
                <c:v>173.52276233407252</c:v>
              </c:pt>
              <c:pt idx="57">
                <c:v>178.55678072044756</c:v>
              </c:pt>
              <c:pt idx="58">
                <c:v>183.69353928266656</c:v>
              </c:pt>
              <c:pt idx="59">
                <c:v>188.93568016331693</c:v>
              </c:pt>
              <c:pt idx="60">
                <c:v>194.28592778181851</c:v>
              </c:pt>
              <c:pt idx="61">
                <c:v>199.74709185422338</c:v>
              </c:pt>
              <c:pt idx="62">
                <c:v>205.32207054114659</c:v>
              </c:pt>
              <c:pt idx="63">
                <c:v>211.01385373002759</c:v>
              </c:pt>
              <c:pt idx="64">
                <c:v>216.82552645824848</c:v>
              </c:pt>
              <c:pt idx="65">
                <c:v>222.76027248400385</c:v>
              </c:pt>
              <c:pt idx="66">
                <c:v>228.82137801219369</c:v>
              </c:pt>
              <c:pt idx="67">
                <c:v>235.01223558301223</c:v>
              </c:pt>
              <c:pt idx="68">
                <c:v>241.33634813133452</c:v>
              </c:pt>
              <c:pt idx="69">
                <c:v>247.7973332254646</c:v>
              </c:pt>
              <c:pt idx="70">
                <c:v>254.39892749427989</c:v>
              </c:pt>
              <c:pt idx="71">
                <c:v>261.14499125233527</c:v>
              </c:pt>
              <c:pt idx="72">
                <c:v>268.03951333302615</c:v>
              </c:pt>
              <c:pt idx="73">
                <c:v>275.08661614049925</c:v>
              </c:pt>
              <c:pt idx="74">
                <c:v>282.29056093161779</c:v>
              </c:pt>
              <c:pt idx="75">
                <c:v>289.65575333994326</c:v>
              </c:pt>
              <c:pt idx="76">
                <c:v>297.18674915441062</c:v>
              </c:pt>
              <c:pt idx="77">
                <c:v>304.88826036610874</c:v>
              </c:pt>
              <c:pt idx="78">
                <c:v>312.76516149739052</c:v>
              </c:pt>
              <c:pt idx="79">
                <c:v>320.82249622838032</c:v>
              </c:pt>
              <c:pt idx="80">
                <c:v>329.06548433686271</c:v>
              </c:pt>
              <c:pt idx="81">
                <c:v>337.49952896850448</c:v>
              </c:pt>
              <c:pt idx="82">
                <c:v>346.13022425540095</c:v>
              </c:pt>
              <c:pt idx="83">
                <c:v>354.96336330204906</c:v>
              </c:pt>
              <c:pt idx="84">
                <c:v>364.00494655902997</c:v>
              </c:pt>
              <c:pt idx="85">
                <c:v>373.26119060596051</c:v>
              </c:pt>
              <c:pt idx="86">
                <c:v>382.73853736662534</c:v>
              </c:pt>
              <c:pt idx="87">
                <c:v>392.44366378065394</c:v>
              </c:pt>
              <c:pt idx="88">
                <c:v>402.38349195767546</c:v>
              </c:pt>
              <c:pt idx="89">
                <c:v>412.56519984153573</c:v>
              </c:pt>
              <c:pt idx="90">
                <c:v>422.99623241397148</c:v>
              </c:pt>
              <c:pt idx="91">
                <c:v>433.6843134690393</c:v>
              </c:pt>
              <c:pt idx="92">
                <c:v>444.63745799167901</c:v>
              </c:pt>
              <c:pt idx="93">
                <c:v>455.86398517598769</c:v>
              </c:pt>
              <c:pt idx="94">
                <c:v>467.37253212117423</c:v>
              </c:pt>
              <c:pt idx="95">
                <c:v>479.17206824572492</c:v>
              </c:pt>
              <c:pt idx="96">
                <c:v>491.27191046305796</c:v>
              </c:pt>
              <c:pt idx="97">
                <c:v>503.68173916492134</c:v>
              </c:pt>
              <c:pt idx="98">
                <c:v>516.41161506198023</c:v>
              </c:pt>
              <c:pt idx="99">
                <c:v>529.4719969344826</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3-468D-405B-94A7-D9E291E45987}"/>
            </c:ext>
          </c:extLst>
        </c:ser>
        <c:ser>
          <c:idx val="4"/>
          <c:order val="4"/>
          <c:tx>
            <c:v>eps=0,5</c:v>
          </c:tx>
          <c:spPr>
            <a:ln w="34925" cap="rnd">
              <a:solidFill>
                <a:schemeClr val="accent5"/>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1.4920538567272061</c:v>
              </c:pt>
              <c:pt idx="2">
                <c:v>3.0077458555047967</c:v>
              </c:pt>
              <c:pt idx="3">
                <c:v>4.5475464917697233</c:v>
              </c:pt>
              <c:pt idx="4">
                <c:v>6.1119375596399292</c:v>
              </c:pt>
              <c:pt idx="5">
                <c:v>7.7014124703301237</c:v>
              </c:pt>
              <c:pt idx="6">
                <c:v>9.3164765808888372</c:v>
              </c:pt>
              <c:pt idx="7">
                <c:v>10.957647533634916</c:v>
              </c:pt>
              <c:pt idx="8">
                <c:v>12.625455606689103</c:v>
              </c:pt>
              <c:pt idx="9">
                <c:v>14.320444076010208</c:v>
              </c:pt>
              <c:pt idx="10">
                <c:v>16.043169589364297</c:v>
              </c:pt>
              <c:pt idx="11">
                <c:v>17.794202552673319</c:v>
              </c:pt>
              <c:pt idx="12">
                <c:v>19.57412752920601</c:v>
              </c:pt>
              <c:pt idx="13">
                <c:v>21.383543652096087</c:v>
              </c:pt>
              <c:pt idx="14">
                <c:v>23.223065050691119</c:v>
              </c:pt>
              <c:pt idx="15">
                <c:v>25.093321291258764</c:v>
              </c:pt>
              <c:pt idx="16">
                <c:v>26.994957832596956</c:v>
              </c:pt>
              <c:pt idx="17">
                <c:v>28.928636497120234</c:v>
              </c:pt>
              <c:pt idx="18">
                <c:v>30.895035958018472</c:v>
              </c:pt>
              <c:pt idx="19">
                <c:v>32.894852243108751</c:v>
              </c:pt>
              <c:pt idx="20">
                <c:v>34.928799256029713</c:v>
              </c:pt>
              <c:pt idx="21">
                <c:v>36.997609315454312</c:v>
              </c:pt>
              <c:pt idx="22">
                <c:v>39.102033713029208</c:v>
              </c:pt>
              <c:pt idx="23">
                <c:v>41.242843290775923</c:v>
              </c:pt>
              <c:pt idx="24">
                <c:v>43.420829038725216</c:v>
              </c:pt>
              <c:pt idx="25">
                <c:v>45.636802713589169</c:v>
              </c:pt>
              <c:pt idx="26">
                <c:v>47.891597479309667</c:v>
              </c:pt>
              <c:pt idx="27">
                <c:v>50.186068570361492</c:v>
              </c:pt>
              <c:pt idx="28">
                <c:v>52.52109397872848</c:v>
              </c:pt>
              <c:pt idx="29">
                <c:v>54.897575165508364</c:v>
              </c:pt>
              <c:pt idx="30">
                <c:v>57.316437798151391</c:v>
              </c:pt>
              <c:pt idx="31">
                <c:v>59.77863251437816</c:v>
              </c:pt>
              <c:pt idx="32">
                <c:v>62.285135713874517</c:v>
              </c:pt>
              <c:pt idx="33">
                <c:v>64.836950378908284</c:v>
              </c:pt>
              <c:pt idx="34">
                <c:v>67.435106925067487</c:v>
              </c:pt>
              <c:pt idx="35">
                <c:v>70.080664083377243</c:v>
              </c:pt>
              <c:pt idx="36">
                <c:v>72.774709815105624</c:v>
              </c:pt>
              <c:pt idx="37">
                <c:v>75.518362260638213</c:v>
              </c:pt>
              <c:pt idx="38">
                <c:v>78.31277072385852</c:v>
              </c:pt>
              <c:pt idx="39">
                <c:v>81.159116693546437</c:v>
              </c:pt>
              <c:pt idx="40">
                <c:v>84.058614903373524</c:v>
              </c:pt>
              <c:pt idx="41">
                <c:v>87.01251443215277</c:v>
              </c:pt>
              <c:pt idx="42">
                <c:v>90.022099846080707</c:v>
              </c:pt>
              <c:pt idx="43">
                <c:v>93.088692384791329</c:v>
              </c:pt>
              <c:pt idx="44">
                <c:v>96.213651193132293</c:v>
              </c:pt>
              <c:pt idx="45">
                <c:v>99.398374600666514</c:v>
              </c:pt>
              <c:pt idx="46">
                <c:v>102.64430145100178</c:v>
              </c:pt>
              <c:pt idx="47">
                <c:v>105.95291248315273</c:v>
              </c:pt>
              <c:pt idx="48">
                <c:v>109.32573176725155</c:v>
              </c:pt>
              <c:pt idx="49">
                <c:v>112.7643281970404</c:v>
              </c:pt>
              <c:pt idx="50">
                <c:v>116.27031704169636</c:v>
              </c:pt>
              <c:pt idx="51">
                <c:v>119.84536155967497</c:v>
              </c:pt>
              <c:pt idx="52">
                <c:v>123.49117467738856</c:v>
              </c:pt>
              <c:pt idx="53">
                <c:v>127.20952073568712</c:v>
              </c:pt>
              <c:pt idx="54">
                <c:v>131.00221730725346</c:v>
              </c:pt>
              <c:pt idx="55">
                <c:v>134.87113708819177</c:v>
              </c:pt>
              <c:pt idx="56">
                <c:v>138.81820986725808</c:v>
              </c:pt>
              <c:pt idx="57">
                <c:v>142.845424576358</c:v>
              </c:pt>
              <c:pt idx="58">
                <c:v>146.95483142613324</c:v>
              </c:pt>
              <c:pt idx="59">
                <c:v>151.14854413065356</c:v>
              </c:pt>
              <c:pt idx="60">
                <c:v>155.4287422254549</c:v>
              </c:pt>
              <c:pt idx="61">
                <c:v>159.79767348337879</c:v>
              </c:pt>
              <c:pt idx="62">
                <c:v>164.25765643291732</c:v>
              </c:pt>
              <c:pt idx="63">
                <c:v>168.81108298402208</c:v>
              </c:pt>
              <c:pt idx="64">
                <c:v>173.46042116659873</c:v>
              </c:pt>
              <c:pt idx="65">
                <c:v>178.20821798720308</c:v>
              </c:pt>
              <c:pt idx="66">
                <c:v>183.05710240975503</c:v>
              </c:pt>
              <c:pt idx="67">
                <c:v>188.00978846640979</c:v>
              </c:pt>
              <c:pt idx="68">
                <c:v>193.06907850506767</c:v>
              </c:pt>
              <c:pt idx="69">
                <c:v>198.23786658037162</c:v>
              </c:pt>
              <c:pt idx="70">
                <c:v>203.51914199542389</c:v>
              </c:pt>
              <c:pt idx="71">
                <c:v>208.9159930018682</c:v>
              </c:pt>
              <c:pt idx="72">
                <c:v>214.43161066642094</c:v>
              </c:pt>
              <c:pt idx="73">
                <c:v>220.06929291239945</c:v>
              </c:pt>
              <c:pt idx="74">
                <c:v>225.83244874529416</c:v>
              </c:pt>
              <c:pt idx="75">
                <c:v>231.72460267195453</c:v>
              </c:pt>
              <c:pt idx="76">
                <c:v>237.74939932352851</c:v>
              </c:pt>
              <c:pt idx="77">
                <c:v>243.9106082928871</c:v>
              </c:pt>
              <c:pt idx="78">
                <c:v>250.21212919791256</c:v>
              </c:pt>
              <c:pt idx="79">
                <c:v>256.65799698270445</c:v>
              </c:pt>
              <c:pt idx="80">
                <c:v>263.25238746949015</c:v>
              </c:pt>
              <c:pt idx="81">
                <c:v>269.99962317480356</c:v>
              </c:pt>
              <c:pt idx="82">
                <c:v>276.90417940432076</c:v>
              </c:pt>
              <c:pt idx="83">
                <c:v>283.97069064163935</c:v>
              </c:pt>
              <c:pt idx="84">
                <c:v>291.20395724722414</c:v>
              </c:pt>
              <c:pt idx="85">
                <c:v>298.60895248476862</c:v>
              </c:pt>
              <c:pt idx="86">
                <c:v>306.19082989330025</c:v>
              </c:pt>
              <c:pt idx="87">
                <c:v>313.95493102452309</c:v>
              </c:pt>
              <c:pt idx="88">
                <c:v>321.90679356614044</c:v>
              </c:pt>
              <c:pt idx="89">
                <c:v>330.05215987322862</c:v>
              </c:pt>
              <c:pt idx="90">
                <c:v>338.39698593117708</c:v>
              </c:pt>
              <c:pt idx="91">
                <c:v>346.94745077523135</c:v>
              </c:pt>
              <c:pt idx="92">
                <c:v>355.70996639334322</c:v>
              </c:pt>
              <c:pt idx="93">
                <c:v>364.69118814079019</c:v>
              </c:pt>
              <c:pt idx="94">
                <c:v>373.89802569693944</c:v>
              </c:pt>
              <c:pt idx="95">
                <c:v>383.33765459657991</c:v>
              </c:pt>
              <c:pt idx="96">
                <c:v>393.01752837044654</c:v>
              </c:pt>
              <c:pt idx="97">
                <c:v>402.945391331937</c:v>
              </c:pt>
              <c:pt idx="98">
                <c:v>413.12929204958419</c:v>
              </c:pt>
              <c:pt idx="99">
                <c:v>423.57759754758604</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4-468D-405B-94A7-D9E291E45987}"/>
            </c:ext>
          </c:extLst>
        </c:ser>
        <c:ser>
          <c:idx val="5"/>
          <c:order val="5"/>
          <c:tx>
            <c:v>eps=0,6</c:v>
          </c:tx>
          <c:spPr>
            <a:ln w="34925" cap="rnd">
              <a:solidFill>
                <a:schemeClr val="accent6"/>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1.2433782139393392</c:v>
              </c:pt>
              <c:pt idx="2">
                <c:v>2.5064548795873298</c:v>
              </c:pt>
              <c:pt idx="3">
                <c:v>3.7896220764747701</c:v>
              </c:pt>
              <c:pt idx="4">
                <c:v>5.0932812996999415</c:v>
              </c:pt>
              <c:pt idx="5">
                <c:v>6.4178437252750999</c:v>
              </c:pt>
              <c:pt idx="6">
                <c:v>7.7637304840740278</c:v>
              </c:pt>
              <c:pt idx="7">
                <c:v>9.1313729446957677</c:v>
              </c:pt>
              <c:pt idx="8">
                <c:v>10.521213005574248</c:v>
              </c:pt>
              <c:pt idx="9">
                <c:v>11.933703396675172</c:v>
              </c:pt>
              <c:pt idx="10">
                <c:v>13.369307991136909</c:v>
              </c:pt>
              <c:pt idx="11">
                <c:v>14.828502127227763</c:v>
              </c:pt>
              <c:pt idx="12">
                <c:v>16.311772941004996</c:v>
              </c:pt>
              <c:pt idx="13">
                <c:v>17.819619710080072</c:v>
              </c:pt>
              <c:pt idx="14">
                <c:v>19.352554208909265</c:v>
              </c:pt>
              <c:pt idx="15">
                <c:v>20.911101076048968</c:v>
              </c:pt>
              <c:pt idx="16">
                <c:v>22.495798193830812</c:v>
              </c:pt>
              <c:pt idx="17">
                <c:v>24.10719708093351</c:v>
              </c:pt>
              <c:pt idx="18">
                <c:v>25.745863298348716</c:v>
              </c:pt>
              <c:pt idx="19">
                <c:v>27.41237686925729</c:v>
              </c:pt>
              <c:pt idx="20">
                <c:v>29.107332713358094</c:v>
              </c:pt>
              <c:pt idx="21">
                <c:v>30.831341096211933</c:v>
              </c:pt>
              <c:pt idx="22">
                <c:v>32.585028094190996</c:v>
              </c:pt>
              <c:pt idx="23">
                <c:v>34.369036075646605</c:v>
              </c:pt>
              <c:pt idx="24">
                <c:v>36.184024198937685</c:v>
              </c:pt>
              <c:pt idx="25">
                <c:v>38.030668927990966</c:v>
              </c:pt>
              <c:pt idx="26">
                <c:v>39.909664566091351</c:v>
              </c:pt>
              <c:pt idx="27">
                <c:v>41.82172380863458</c:v>
              </c:pt>
              <c:pt idx="28">
                <c:v>43.767578315607054</c:v>
              </c:pt>
              <c:pt idx="29">
                <c:v>45.747979304590309</c:v>
              </c:pt>
              <c:pt idx="30">
                <c:v>47.763698165126165</c:v>
              </c:pt>
              <c:pt idx="31">
                <c:v>49.815527095315126</c:v>
              </c:pt>
              <c:pt idx="32">
                <c:v>51.904279761562108</c:v>
              </c:pt>
              <c:pt idx="33">
                <c:v>54.030791982423544</c:v>
              </c:pt>
              <c:pt idx="34">
                <c:v>56.195922437556241</c:v>
              </c:pt>
              <c:pt idx="35">
                <c:v>58.400553402814324</c:v>
              </c:pt>
              <c:pt idx="36">
                <c:v>60.645591512588013</c:v>
              </c:pt>
              <c:pt idx="37">
                <c:v>62.93196855053182</c:v>
              </c:pt>
              <c:pt idx="38">
                <c:v>65.260642269882098</c:v>
              </c:pt>
              <c:pt idx="39">
                <c:v>67.632597244622005</c:v>
              </c:pt>
              <c:pt idx="40">
                <c:v>70.048845752811275</c:v>
              </c:pt>
              <c:pt idx="41">
                <c:v>72.510428693460639</c:v>
              </c:pt>
              <c:pt idx="42">
                <c:v>75.018416538400615</c:v>
              </c:pt>
              <c:pt idx="43">
                <c:v>77.573910320659408</c:v>
              </c:pt>
              <c:pt idx="44">
                <c:v>80.178042660943575</c:v>
              </c:pt>
              <c:pt idx="45">
                <c:v>82.831978833888712</c:v>
              </c:pt>
              <c:pt idx="46">
                <c:v>85.53691787583476</c:v>
              </c:pt>
              <c:pt idx="47">
                <c:v>88.294093735960573</c:v>
              </c:pt>
              <c:pt idx="48">
                <c:v>91.104776472709574</c:v>
              </c:pt>
              <c:pt idx="49">
                <c:v>93.970273497533611</c:v>
              </c:pt>
              <c:pt idx="50">
                <c:v>96.89193086808028</c:v>
              </c:pt>
              <c:pt idx="51">
                <c:v>99.871134633062397</c:v>
              </c:pt>
              <c:pt idx="52">
                <c:v>102.90931223115705</c:v>
              </c:pt>
              <c:pt idx="53">
                <c:v>106.0079339464059</c:v>
              </c:pt>
              <c:pt idx="54">
                <c:v>109.16851442271123</c:v>
              </c:pt>
              <c:pt idx="55">
                <c:v>112.39261424015982</c:v>
              </c:pt>
              <c:pt idx="56">
                <c:v>115.68184155604838</c:v>
              </c:pt>
              <c:pt idx="57">
                <c:v>119.03785381363174</c:v>
              </c:pt>
              <c:pt idx="58">
                <c:v>122.46235952177771</c:v>
              </c:pt>
              <c:pt idx="59">
                <c:v>125.95712010887793</c:v>
              </c:pt>
              <c:pt idx="60">
                <c:v>129.52395185454577</c:v>
              </c:pt>
              <c:pt idx="61">
                <c:v>133.1647279028156</c:v>
              </c:pt>
              <c:pt idx="62">
                <c:v>136.88138036076438</c:v>
              </c:pt>
              <c:pt idx="63">
                <c:v>140.67590248668498</c:v>
              </c:pt>
              <c:pt idx="64">
                <c:v>144.55035097216566</c:v>
              </c:pt>
              <c:pt idx="65">
                <c:v>148.50684832266919</c:v>
              </c:pt>
              <c:pt idx="66">
                <c:v>152.54758534146245</c:v>
              </c:pt>
              <c:pt idx="67">
                <c:v>156.67482372200811</c:v>
              </c:pt>
              <c:pt idx="68">
                <c:v>160.890898754223</c:v>
              </c:pt>
              <c:pt idx="69">
                <c:v>165.19822215030973</c:v>
              </c:pt>
              <c:pt idx="70">
                <c:v>169.59928499618658</c:v>
              </c:pt>
              <c:pt idx="71">
                <c:v>174.0966608348902</c:v>
              </c:pt>
              <c:pt idx="72">
                <c:v>178.69300888868415</c:v>
              </c:pt>
              <c:pt idx="73">
                <c:v>183.39107742699952</c:v>
              </c:pt>
              <c:pt idx="74">
                <c:v>188.19370728774521</c:v>
              </c:pt>
              <c:pt idx="75">
                <c:v>193.10383555996208</c:v>
              </c:pt>
              <c:pt idx="76">
                <c:v>198.12449943627362</c:v>
              </c:pt>
              <c:pt idx="77">
                <c:v>203.25884024407256</c:v>
              </c:pt>
              <c:pt idx="78">
                <c:v>208.51010766492703</c:v>
              </c:pt>
              <c:pt idx="79">
                <c:v>213.88166415225356</c:v>
              </c:pt>
              <c:pt idx="80">
                <c:v>219.37698955790847</c:v>
              </c:pt>
              <c:pt idx="81">
                <c:v>224.99968597900295</c:v>
              </c:pt>
              <c:pt idx="82">
                <c:v>230.75348283693393</c:v>
              </c:pt>
              <c:pt idx="83">
                <c:v>236.64224220136597</c:v>
              </c:pt>
              <c:pt idx="84">
                <c:v>242.66996437268671</c:v>
              </c:pt>
              <c:pt idx="85">
                <c:v>248.84079373730708</c:v>
              </c:pt>
              <c:pt idx="86">
                <c:v>255.15902491108343</c:v>
              </c:pt>
              <c:pt idx="87">
                <c:v>261.62910918710259</c:v>
              </c:pt>
              <c:pt idx="88">
                <c:v>268.25566130511692</c:v>
              </c:pt>
              <c:pt idx="89">
                <c:v>275.04346656102393</c:v>
              </c:pt>
              <c:pt idx="90">
                <c:v>281.99748827598091</c:v>
              </c:pt>
              <c:pt idx="91">
                <c:v>289.12287564602605</c:v>
              </c:pt>
              <c:pt idx="92">
                <c:v>296.42497199445273</c:v>
              </c:pt>
              <c:pt idx="93">
                <c:v>303.90932345065841</c:v>
              </c:pt>
              <c:pt idx="94">
                <c:v>311.58168808078284</c:v>
              </c:pt>
              <c:pt idx="95">
                <c:v>319.44804549714996</c:v>
              </c:pt>
              <c:pt idx="96">
                <c:v>327.51460697537209</c:v>
              </c:pt>
              <c:pt idx="97">
                <c:v>335.7878261099475</c:v>
              </c:pt>
              <c:pt idx="98">
                <c:v>344.2744100413201</c:v>
              </c:pt>
              <c:pt idx="99">
                <c:v>352.98133128965492</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5-468D-405B-94A7-D9E291E45987}"/>
            </c:ext>
          </c:extLst>
        </c:ser>
        <c:ser>
          <c:idx val="6"/>
          <c:order val="6"/>
          <c:tx>
            <c:v>eps=0,7</c:v>
          </c:tx>
          <c:spPr>
            <a:ln w="34925" cap="rnd">
              <a:solidFill>
                <a:schemeClr val="accent1">
                  <a:lumMod val="60000"/>
                </a:schemeClr>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1.0657527548051473</c:v>
              </c:pt>
              <c:pt idx="2">
                <c:v>2.1483898967891397</c:v>
              </c:pt>
              <c:pt idx="3">
                <c:v>3.2482474941212303</c:v>
              </c:pt>
              <c:pt idx="4">
                <c:v>4.3656696854570907</c:v>
              </c:pt>
              <c:pt idx="5">
                <c:v>5.5010089073786599</c:v>
              </c:pt>
              <c:pt idx="6">
                <c:v>6.6546261292063127</c:v>
              </c:pt>
              <c:pt idx="7">
                <c:v>7.8268910954535134</c:v>
              </c:pt>
              <c:pt idx="8">
                <c:v>9.0181825762065007</c:v>
              </c:pt>
              <c:pt idx="9">
                <c:v>10.228888625721575</c:v>
              </c:pt>
              <c:pt idx="10">
                <c:v>11.459406849545925</c:v>
              </c:pt>
              <c:pt idx="11">
                <c:v>12.710144680480942</c:v>
              </c:pt>
              <c:pt idx="12">
                <c:v>13.981519663718574</c:v>
              </c:pt>
              <c:pt idx="13">
                <c:v>15.273959751497198</c:v>
              </c:pt>
              <c:pt idx="14">
                <c:v>16.587903607636513</c:v>
              </c:pt>
              <c:pt idx="15">
                <c:v>17.923800922327686</c:v>
              </c:pt>
              <c:pt idx="16">
                <c:v>19.282112737569264</c:v>
              </c:pt>
              <c:pt idx="17">
                <c:v>20.663311783657303</c:v>
              </c:pt>
              <c:pt idx="18">
                <c:v>22.067882827156048</c:v>
              </c:pt>
              <c:pt idx="19">
                <c:v>23.496323030791977</c:v>
              </c:pt>
              <c:pt idx="20">
                <c:v>24.949142325735519</c:v>
              </c:pt>
              <c:pt idx="21">
                <c:v>26.426863796753082</c:v>
              </c:pt>
              <c:pt idx="22">
                <c:v>27.930024080735148</c:v>
              </c:pt>
              <c:pt idx="23">
                <c:v>29.45917377912566</c:v>
              </c:pt>
              <c:pt idx="24">
                <c:v>31.014877884803738</c:v>
              </c:pt>
              <c:pt idx="25">
                <c:v>32.597716223992265</c:v>
              </c:pt>
              <c:pt idx="26">
                <c:v>34.208283913792584</c:v>
              </c:pt>
              <c:pt idx="27">
                <c:v>35.847191835972481</c:v>
              </c:pt>
              <c:pt idx="28">
                <c:v>37.515067127663173</c:v>
              </c:pt>
              <c:pt idx="29">
                <c:v>39.212553689648828</c:v>
              </c:pt>
              <c:pt idx="30">
                <c:v>40.940312712965287</c:v>
              </c:pt>
              <c:pt idx="31">
                <c:v>42.699023224555845</c:v>
              </c:pt>
              <c:pt idx="32">
                <c:v>44.48938265276751</c:v>
              </c:pt>
              <c:pt idx="33">
                <c:v>46.312107413505899</c:v>
              </c:pt>
              <c:pt idx="34">
                <c:v>48.167933517905361</c:v>
              </c:pt>
              <c:pt idx="35">
                <c:v>50.057617202412288</c:v>
              </c:pt>
              <c:pt idx="36">
                <c:v>51.981935582218298</c:v>
              </c:pt>
              <c:pt idx="37">
                <c:v>53.94168732902731</c:v>
              </c:pt>
              <c:pt idx="38">
                <c:v>55.937693374184633</c:v>
              </c:pt>
              <c:pt idx="39">
                <c:v>57.970797638247475</c:v>
              </c:pt>
              <c:pt idx="40">
                <c:v>60.041867788123973</c:v>
              </c:pt>
              <c:pt idx="41">
                <c:v>62.151796022966273</c:v>
              </c:pt>
              <c:pt idx="42">
                <c:v>64.30149989005767</c:v>
              </c:pt>
              <c:pt idx="43">
                <c:v>66.491923131993744</c:v>
              </c:pt>
              <c:pt idx="44">
                <c:v>68.72403656652304</c:v>
              </c:pt>
              <c:pt idx="45">
                <c:v>70.998839000476067</c:v>
              </c:pt>
              <c:pt idx="46">
                <c:v>73.31735817928697</c:v>
              </c:pt>
              <c:pt idx="47">
                <c:v>75.680651773680495</c:v>
              </c:pt>
              <c:pt idx="48">
                <c:v>78.089808405179667</c:v>
              </c:pt>
              <c:pt idx="49">
                <c:v>80.545948712171665</c:v>
              </c:pt>
              <c:pt idx="50">
                <c:v>83.050226458354572</c:v>
              </c:pt>
              <c:pt idx="51">
                <c:v>85.603829685482111</c:v>
              </c:pt>
              <c:pt idx="52">
                <c:v>88.207981912420379</c:v>
              </c:pt>
              <c:pt idx="53">
                <c:v>90.863943382633622</c:v>
              </c:pt>
              <c:pt idx="54">
                <c:v>93.573012362323908</c:v>
              </c:pt>
              <c:pt idx="55">
                <c:v>96.336526491565536</c:v>
              </c:pt>
              <c:pt idx="56">
                <c:v>99.155864190898598</c:v>
              </c:pt>
              <c:pt idx="57">
                <c:v>102.03244612597003</c:v>
              </c:pt>
              <c:pt idx="58">
                <c:v>104.96773673295229</c:v>
              </c:pt>
              <c:pt idx="59">
                <c:v>107.96324580760971</c:v>
              </c:pt>
              <c:pt idx="60">
                <c:v>111.02053016103919</c:v>
              </c:pt>
              <c:pt idx="61">
                <c:v>114.14119534527052</c:v>
              </c:pt>
              <c:pt idx="62">
                <c:v>117.32689745208376</c:v>
              </c:pt>
              <c:pt idx="63">
                <c:v>120.57934498858722</c:v>
              </c:pt>
              <c:pt idx="64">
                <c:v>123.90030083328487</c:v>
              </c:pt>
              <c:pt idx="65">
                <c:v>127.29158427657363</c:v>
              </c:pt>
              <c:pt idx="66">
                <c:v>130.75507314982499</c:v>
              </c:pt>
              <c:pt idx="67">
                <c:v>134.29270604743553</c:v>
              </c:pt>
              <c:pt idx="68">
                <c:v>137.90648464647683</c:v>
              </c:pt>
              <c:pt idx="69">
                <c:v>141.59847612883692</c:v>
              </c:pt>
              <c:pt idx="70">
                <c:v>145.37081571101706</c:v>
              </c:pt>
              <c:pt idx="71">
                <c:v>149.22570928704877</c:v>
              </c:pt>
              <c:pt idx="72">
                <c:v>153.16543619030068</c:v>
              </c:pt>
              <c:pt idx="73">
                <c:v>157.1923520802853</c:v>
              </c:pt>
              <c:pt idx="74">
                <c:v>161.30889196092437</c:v>
              </c:pt>
              <c:pt idx="75">
                <c:v>165.51757333711029</c:v>
              </c:pt>
              <c:pt idx="76">
                <c:v>169.82099951680601</c:v>
              </c:pt>
              <c:pt idx="77">
                <c:v>174.22186306634788</c:v>
              </c:pt>
              <c:pt idx="78">
                <c:v>178.72294942708032</c:v>
              </c:pt>
              <c:pt idx="79">
                <c:v>183.32714070193163</c:v>
              </c:pt>
              <c:pt idx="80">
                <c:v>188.03741962106446</c:v>
              </c:pt>
              <c:pt idx="81">
                <c:v>192.85687369628829</c:v>
              </c:pt>
              <c:pt idx="82">
                <c:v>197.78869957451482</c:v>
              </c:pt>
              <c:pt idx="83">
                <c:v>202.83620760117091</c:v>
              </c:pt>
              <c:pt idx="84">
                <c:v>208.00282660515998</c:v>
              </c:pt>
              <c:pt idx="85">
                <c:v>213.29210891769179</c:v>
              </c:pt>
              <c:pt idx="86">
                <c:v>218.70773563807154</c:v>
              </c:pt>
              <c:pt idx="87">
                <c:v>224.25352216037362</c:v>
              </c:pt>
              <c:pt idx="88">
                <c:v>229.93342397581461</c:v>
              </c:pt>
              <c:pt idx="89">
                <c:v>235.751542766592</c:v>
              </c:pt>
              <c:pt idx="90">
                <c:v>241.71213280798355</c:v>
              </c:pt>
              <c:pt idx="91">
                <c:v>247.81960769659383</c:v>
              </c:pt>
              <c:pt idx="92">
                <c:v>254.07854742381662</c:v>
              </c:pt>
              <c:pt idx="93">
                <c:v>260.49370581484999</c:v>
              </c:pt>
              <c:pt idx="94">
                <c:v>267.07001835495669</c:v>
              </c:pt>
              <c:pt idx="95">
                <c:v>273.81261042612851</c:v>
              </c:pt>
              <c:pt idx="96">
                <c:v>280.72680597889035</c:v>
              </c:pt>
              <c:pt idx="97">
                <c:v>287.81813666566939</c:v>
              </c:pt>
              <c:pt idx="98">
                <c:v>295.09235146398868</c:v>
              </c:pt>
              <c:pt idx="99">
                <c:v>302.55542681970417</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6-468D-405B-94A7-D9E291E45987}"/>
            </c:ext>
          </c:extLst>
        </c:ser>
        <c:ser>
          <c:idx val="7"/>
          <c:order val="7"/>
          <c:tx>
            <c:v>eps=0,8</c:v>
          </c:tx>
          <c:spPr>
            <a:ln w="34925" cap="rnd">
              <a:solidFill>
                <a:schemeClr val="accent2">
                  <a:lumMod val="60000"/>
                </a:schemeClr>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0.93253366045450359</c:v>
              </c:pt>
              <c:pt idx="2">
                <c:v>1.8798411596904978</c:v>
              </c:pt>
              <c:pt idx="3">
                <c:v>2.8422165573560769</c:v>
              </c:pt>
              <c:pt idx="4">
                <c:v>3.8199609747749554</c:v>
              </c:pt>
              <c:pt idx="5">
                <c:v>4.8133827939563272</c:v>
              </c:pt>
              <c:pt idx="6">
                <c:v>5.8227978630555226</c:v>
              </c:pt>
              <c:pt idx="7">
                <c:v>6.8485297085218209</c:v>
              </c:pt>
              <c:pt idx="8">
                <c:v>7.8909097541806865</c:v>
              </c:pt>
              <c:pt idx="9">
                <c:v>8.9502775475063796</c:v>
              </c:pt>
              <c:pt idx="10">
                <c:v>10.026980993352685</c:v>
              </c:pt>
              <c:pt idx="11">
                <c:v>11.121376595420825</c:v>
              </c:pt>
              <c:pt idx="12">
                <c:v>12.233829705753754</c:v>
              </c:pt>
              <c:pt idx="13">
                <c:v>13.364714782560052</c:v>
              </c:pt>
              <c:pt idx="14">
                <c:v>14.514415656681949</c:v>
              </c:pt>
              <c:pt idx="15">
                <c:v>15.683325807036722</c:v>
              </c:pt>
              <c:pt idx="16">
                <c:v>16.871848645373099</c:v>
              </c:pt>
              <c:pt idx="17">
                <c:v>18.080397810700138</c:v>
              </c:pt>
              <c:pt idx="18">
                <c:v>19.309397473761539</c:v>
              </c:pt>
              <c:pt idx="19">
                <c:v>20.559282651942979</c:v>
              </c:pt>
              <c:pt idx="20">
                <c:v>21.830499535018564</c:v>
              </c:pt>
              <c:pt idx="21">
                <c:v>23.123505822158943</c:v>
              </c:pt>
              <c:pt idx="22">
                <c:v>24.438771070643252</c:v>
              </c:pt>
              <c:pt idx="23">
                <c:v>25.776777056734954</c:v>
              </c:pt>
              <c:pt idx="24">
                <c:v>27.138018149203255</c:v>
              </c:pt>
              <c:pt idx="25">
                <c:v>28.523001695993226</c:v>
              </c:pt>
              <c:pt idx="26">
                <c:v>29.93224842456852</c:v>
              </c:pt>
              <c:pt idx="27">
                <c:v>31.366292856475923</c:v>
              </c:pt>
              <c:pt idx="28">
                <c:v>32.825683736705287</c:v>
              </c:pt>
              <c:pt idx="29">
                <c:v>34.31098447844272</c:v>
              </c:pt>
              <c:pt idx="30">
                <c:v>35.822773623844611</c:v>
              </c:pt>
              <c:pt idx="31">
                <c:v>37.361645321486357</c:v>
              </c:pt>
              <c:pt idx="32">
                <c:v>38.928209821171571</c:v>
              </c:pt>
              <c:pt idx="33">
                <c:v>40.523093986817656</c:v>
              </c:pt>
              <c:pt idx="34">
                <c:v>42.146941828167186</c:v>
              </c:pt>
              <c:pt idx="35">
                <c:v>43.80041505211075</c:v>
              </c:pt>
              <c:pt idx="36">
                <c:v>45.484193634441013</c:v>
              </c:pt>
              <c:pt idx="37">
                <c:v>47.198976412898894</c:v>
              </c:pt>
              <c:pt idx="38">
                <c:v>48.945481702411563</c:v>
              </c:pt>
              <c:pt idx="39">
                <c:v>50.724447933466507</c:v>
              </c:pt>
              <c:pt idx="40">
                <c:v>52.536634314608484</c:v>
              </c:pt>
              <c:pt idx="41">
                <c:v>54.382821520095511</c:v>
              </c:pt>
              <c:pt idx="42">
                <c:v>56.263812403800451</c:v>
              </c:pt>
              <c:pt idx="43">
                <c:v>58.180432740494567</c:v>
              </c:pt>
              <c:pt idx="44">
                <c:v>60.133531995707663</c:v>
              </c:pt>
              <c:pt idx="45">
                <c:v>62.123984125416534</c:v>
              </c:pt>
              <c:pt idx="46">
                <c:v>64.152688406876081</c:v>
              </c:pt>
              <c:pt idx="47">
                <c:v>66.220570301970454</c:v>
              </c:pt>
              <c:pt idx="48">
                <c:v>68.328582354532188</c:v>
              </c:pt>
              <c:pt idx="49">
                <c:v>70.47770512315023</c:v>
              </c:pt>
              <c:pt idx="50">
                <c:v>72.668948151060249</c:v>
              </c:pt>
              <c:pt idx="51">
                <c:v>74.903350974796837</c:v>
              </c:pt>
              <c:pt idx="52">
                <c:v>77.181984173367837</c:v>
              </c:pt>
              <c:pt idx="53">
                <c:v>79.505950459804424</c:v>
              </c:pt>
              <c:pt idx="54">
                <c:v>81.876385817033466</c:v>
              </c:pt>
              <c:pt idx="55">
                <c:v>84.294460680119826</c:v>
              </c:pt>
              <c:pt idx="56">
                <c:v>86.761381167036262</c:v>
              </c:pt>
              <c:pt idx="57">
                <c:v>89.278390360223781</c:v>
              </c:pt>
              <c:pt idx="58">
                <c:v>91.846769641333282</c:v>
              </c:pt>
              <c:pt idx="59">
                <c:v>94.467840081658466</c:v>
              </c:pt>
              <c:pt idx="60">
                <c:v>97.142963890909257</c:v>
              </c:pt>
              <c:pt idx="61">
                <c:v>99.873545927111692</c:v>
              </c:pt>
              <c:pt idx="62">
                <c:v>102.66103527057329</c:v>
              </c:pt>
              <c:pt idx="63">
                <c:v>105.5069268650138</c:v>
              </c:pt>
              <c:pt idx="64">
                <c:v>108.41276322912424</c:v>
              </c:pt>
              <c:pt idx="65">
                <c:v>111.38013624200192</c:v>
              </c:pt>
              <c:pt idx="66">
                <c:v>114.41068900609685</c:v>
              </c:pt>
              <c:pt idx="67">
                <c:v>117.50611779150611</c:v>
              </c:pt>
              <c:pt idx="68">
                <c:v>120.66817406566726</c:v>
              </c:pt>
              <c:pt idx="69">
                <c:v>123.8986666127323</c:v>
              </c:pt>
              <c:pt idx="70">
                <c:v>127.19946374713994</c:v>
              </c:pt>
              <c:pt idx="71">
                <c:v>130.57249562616764</c:v>
              </c:pt>
              <c:pt idx="72">
                <c:v>134.01975666651308</c:v>
              </c:pt>
              <c:pt idx="73">
                <c:v>137.54330807024962</c:v>
              </c:pt>
              <c:pt idx="74">
                <c:v>141.1452804658089</c:v>
              </c:pt>
              <c:pt idx="75">
                <c:v>144.82787666997163</c:v>
              </c:pt>
              <c:pt idx="76">
                <c:v>148.59337457720531</c:v>
              </c:pt>
              <c:pt idx="77">
                <c:v>152.44413018305437</c:v>
              </c:pt>
              <c:pt idx="78">
                <c:v>156.38258074869526</c:v>
              </c:pt>
              <c:pt idx="79">
                <c:v>160.41124811419016</c:v>
              </c:pt>
              <c:pt idx="80">
                <c:v>164.53274216843135</c:v>
              </c:pt>
              <c:pt idx="81">
                <c:v>168.74976448425224</c:v>
              </c:pt>
              <c:pt idx="82">
                <c:v>173.06511212770047</c:v>
              </c:pt>
              <c:pt idx="83">
                <c:v>177.48168165102453</c:v>
              </c:pt>
              <c:pt idx="84">
                <c:v>182.00247327951499</c:v>
              </c:pt>
              <c:pt idx="85">
                <c:v>186.63059530298025</c:v>
              </c:pt>
              <c:pt idx="86">
                <c:v>191.36926868331267</c:v>
              </c:pt>
              <c:pt idx="87">
                <c:v>196.22183189032697</c:v>
              </c:pt>
              <c:pt idx="88">
                <c:v>201.19174597883773</c:v>
              </c:pt>
              <c:pt idx="89">
                <c:v>206.28259992076786</c:v>
              </c:pt>
              <c:pt idx="90">
                <c:v>211.49811620698574</c:v>
              </c:pt>
              <c:pt idx="91">
                <c:v>216.84215673451965</c:v>
              </c:pt>
              <c:pt idx="92">
                <c:v>222.31872899583951</c:v>
              </c:pt>
              <c:pt idx="93">
                <c:v>227.93199258799385</c:v>
              </c:pt>
              <c:pt idx="94">
                <c:v>233.68626606058712</c:v>
              </c:pt>
              <c:pt idx="95">
                <c:v>239.58603412286246</c:v>
              </c:pt>
              <c:pt idx="96">
                <c:v>245.63595523152898</c:v>
              </c:pt>
              <c:pt idx="97">
                <c:v>251.84086958246067</c:v>
              </c:pt>
              <c:pt idx="98">
                <c:v>258.20580753099011</c:v>
              </c:pt>
              <c:pt idx="99">
                <c:v>264.7359984672413</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7-468D-405B-94A7-D9E291E45987}"/>
            </c:ext>
          </c:extLst>
        </c:ser>
        <c:ser>
          <c:idx val="8"/>
          <c:order val="8"/>
          <c:tx>
            <c:v>eps=0,9</c:v>
          </c:tx>
          <c:spPr>
            <a:ln w="34925" cap="rnd">
              <a:solidFill>
                <a:schemeClr val="accent3">
                  <a:lumMod val="60000"/>
                </a:schemeClr>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0.82891880929289197</c:v>
              </c:pt>
              <c:pt idx="2">
                <c:v>1.6709699197248866</c:v>
              </c:pt>
              <c:pt idx="3">
                <c:v>2.5264147176498453</c:v>
              </c:pt>
              <c:pt idx="4">
                <c:v>3.3955208664666268</c:v>
              </c:pt>
              <c:pt idx="5">
                <c:v>4.2785624835167351</c:v>
              </c:pt>
              <c:pt idx="6">
                <c:v>5.17582032271602</c:v>
              </c:pt>
              <c:pt idx="7">
                <c:v>6.0875819631305088</c:v>
              </c:pt>
              <c:pt idx="8">
                <c:v>7.0141420037161648</c:v>
              </c:pt>
              <c:pt idx="9">
                <c:v>7.9558022644501118</c:v>
              </c:pt>
              <c:pt idx="10">
                <c:v>8.9128719940912742</c:v>
              </c:pt>
              <c:pt idx="11">
                <c:v>9.8856680848185086</c:v>
              </c:pt>
              <c:pt idx="12">
                <c:v>10.874515294003336</c:v>
              </c:pt>
              <c:pt idx="13">
                <c:v>11.87974647338671</c:v>
              </c:pt>
              <c:pt idx="14">
                <c:v>12.901702805939513</c:v>
              </c:pt>
              <c:pt idx="15">
                <c:v>13.940734050699312</c:v>
              </c:pt>
              <c:pt idx="16">
                <c:v>14.997198795887197</c:v>
              </c:pt>
              <c:pt idx="17">
                <c:v>16.071464720622352</c:v>
              </c:pt>
              <c:pt idx="18">
                <c:v>17.163908865565809</c:v>
              </c:pt>
              <c:pt idx="19">
                <c:v>18.274917912838202</c:v>
              </c:pt>
              <c:pt idx="20">
                <c:v>19.404888475572054</c:v>
              </c:pt>
              <c:pt idx="21">
                <c:v>20.554227397474605</c:v>
              </c:pt>
              <c:pt idx="22">
                <c:v>21.723352062793996</c:v>
              </c:pt>
              <c:pt idx="23">
                <c:v>22.912690717097739</c:v>
              </c:pt>
              <c:pt idx="24">
                <c:v>24.122682799291784</c:v>
              </c:pt>
              <c:pt idx="25">
                <c:v>25.35377928532732</c:v>
              </c:pt>
              <c:pt idx="26">
                <c:v>26.606443044060903</c:v>
              </c:pt>
              <c:pt idx="27">
                <c:v>27.88114920575638</c:v>
              </c:pt>
              <c:pt idx="28">
                <c:v>29.178385543738028</c:v>
              </c:pt>
              <c:pt idx="29">
                <c:v>30.498652869726868</c:v>
              </c:pt>
              <c:pt idx="30">
                <c:v>31.842465443417471</c:v>
              </c:pt>
              <c:pt idx="31">
                <c:v>33.210351396876753</c:v>
              </c:pt>
              <c:pt idx="32">
                <c:v>34.602853174374722</c:v>
              </c:pt>
              <c:pt idx="33">
                <c:v>36.020527988282353</c:v>
              </c:pt>
              <c:pt idx="34">
                <c:v>37.463948291704163</c:v>
              </c:pt>
              <c:pt idx="35">
                <c:v>38.933702268542874</c:v>
              </c:pt>
              <c:pt idx="36">
                <c:v>40.430394341725339</c:v>
              </c:pt>
              <c:pt idx="37">
                <c:v>41.954645700354554</c:v>
              </c:pt>
              <c:pt idx="38">
                <c:v>43.507094846588046</c:v>
              </c:pt>
              <c:pt idx="39">
                <c:v>45.088398163081351</c:v>
              </c:pt>
              <c:pt idx="40">
                <c:v>46.699230501874169</c:v>
              </c:pt>
              <c:pt idx="41">
                <c:v>48.340285795640419</c:v>
              </c:pt>
              <c:pt idx="42">
                <c:v>50.012277692267062</c:v>
              </c:pt>
              <c:pt idx="43">
                <c:v>51.715940213772974</c:v>
              </c:pt>
              <c:pt idx="44">
                <c:v>53.452028440629029</c:v>
              </c:pt>
              <c:pt idx="45">
                <c:v>55.22131922259247</c:v>
              </c:pt>
              <c:pt idx="46">
                <c:v>57.024611917223204</c:v>
              </c:pt>
              <c:pt idx="47">
                <c:v>58.862729157307065</c:v>
              </c:pt>
              <c:pt idx="48">
                <c:v>60.73651764847309</c:v>
              </c:pt>
              <c:pt idx="49">
                <c:v>62.646848998355722</c:v>
              </c:pt>
              <c:pt idx="50">
                <c:v>64.594620578720196</c:v>
              </c:pt>
              <c:pt idx="51">
                <c:v>66.580756422041631</c:v>
              </c:pt>
              <c:pt idx="52">
                <c:v>68.606208154104692</c:v>
              </c:pt>
              <c:pt idx="53">
                <c:v>70.671955964270623</c:v>
              </c:pt>
              <c:pt idx="54">
                <c:v>72.779009615140836</c:v>
              </c:pt>
              <c:pt idx="55">
                <c:v>74.928409493439858</c:v>
              </c:pt>
              <c:pt idx="56">
                <c:v>77.121227704032222</c:v>
              </c:pt>
              <c:pt idx="57">
                <c:v>79.358569209087804</c:v>
              </c:pt>
              <c:pt idx="58">
                <c:v>81.641573014518443</c:v>
              </c:pt>
              <c:pt idx="59">
                <c:v>83.971413405918625</c:v>
              </c:pt>
              <c:pt idx="60">
                <c:v>86.349301236363814</c:v>
              </c:pt>
              <c:pt idx="61">
                <c:v>88.776485268543723</c:v>
              </c:pt>
              <c:pt idx="62">
                <c:v>91.25425357384286</c:v>
              </c:pt>
              <c:pt idx="63">
                <c:v>93.783934991123289</c:v>
              </c:pt>
              <c:pt idx="64">
                <c:v>96.366900648110459</c:v>
              </c:pt>
              <c:pt idx="65">
                <c:v>99.004565548446138</c:v>
              </c:pt>
              <c:pt idx="66">
                <c:v>101.69839022764164</c:v>
              </c:pt>
              <c:pt idx="67">
                <c:v>104.44988248133875</c:v>
              </c:pt>
              <c:pt idx="68">
                <c:v>107.26059916948195</c:v>
              </c:pt>
              <c:pt idx="69">
                <c:v>110.13214810020648</c:v>
              </c:pt>
              <c:pt idx="70">
                <c:v>113.06618999745774</c:v>
              </c:pt>
              <c:pt idx="71">
                <c:v>116.06444055659342</c:v>
              </c:pt>
              <c:pt idx="72">
                <c:v>119.12867259245607</c:v>
              </c:pt>
              <c:pt idx="73">
                <c:v>122.26071828466632</c:v>
              </c:pt>
              <c:pt idx="74">
                <c:v>125.46247152516337</c:v>
              </c:pt>
              <c:pt idx="75">
                <c:v>128.73589037330805</c:v>
              </c:pt>
              <c:pt idx="76">
                <c:v>132.08299962418246</c:v>
              </c:pt>
              <c:pt idx="77">
                <c:v>135.50589349604834</c:v>
              </c:pt>
              <c:pt idx="78">
                <c:v>139.00673844328469</c:v>
              </c:pt>
              <c:pt idx="79">
                <c:v>142.58777610150233</c:v>
              </c:pt>
              <c:pt idx="80">
                <c:v>146.25132637193897</c:v>
              </c:pt>
              <c:pt idx="81">
                <c:v>149.99979065266865</c:v>
              </c:pt>
              <c:pt idx="82">
                <c:v>153.83565522462263</c:v>
              </c:pt>
              <c:pt idx="83">
                <c:v>157.76149480091073</c:v>
              </c:pt>
              <c:pt idx="84">
                <c:v>161.77997624845779</c:v>
              </c:pt>
              <c:pt idx="85">
                <c:v>165.89386249153802</c:v>
              </c:pt>
              <c:pt idx="86">
                <c:v>170.10601660738897</c:v>
              </c:pt>
              <c:pt idx="87">
                <c:v>174.41940612473505</c:v>
              </c:pt>
              <c:pt idx="88">
                <c:v>178.83710753674467</c:v>
              </c:pt>
              <c:pt idx="89">
                <c:v>183.36231104068264</c:v>
              </c:pt>
              <c:pt idx="90">
                <c:v>187.99832551732058</c:v>
              </c:pt>
              <c:pt idx="91">
                <c:v>192.74858376401733</c:v>
              </c:pt>
              <c:pt idx="92">
                <c:v>197.61664799630174</c:v>
              </c:pt>
              <c:pt idx="93">
                <c:v>202.60621563377225</c:v>
              </c:pt>
              <c:pt idx="94">
                <c:v>207.72112538718847</c:v>
              </c:pt>
              <c:pt idx="95">
                <c:v>212.96536366476664</c:v>
              </c:pt>
              <c:pt idx="96">
                <c:v>218.3430713169146</c:v>
              </c:pt>
              <c:pt idx="97">
                <c:v>223.85855073996493</c:v>
              </c:pt>
              <c:pt idx="98">
                <c:v>229.51627336088012</c:v>
              </c:pt>
              <c:pt idx="99">
                <c:v>235.32088752643659</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8-468D-405B-94A7-D9E291E45987}"/>
            </c:ext>
          </c:extLst>
        </c:ser>
        <c:ser>
          <c:idx val="9"/>
          <c:order val="9"/>
          <c:tx>
            <c:v>eps=1</c:v>
          </c:tx>
          <c:spPr>
            <a:ln w="34925" cap="rnd">
              <a:solidFill>
                <a:schemeClr val="accent4">
                  <a:lumMod val="60000"/>
                </a:schemeClr>
              </a:solidFill>
              <a:round/>
            </a:ln>
            <a:effectLst>
              <a:outerShdw blurRad="40000" dist="23000" dir="5400000" rotWithShape="0">
                <a:srgbClr val="000000">
                  <a:alpha val="35000"/>
                </a:srgbClr>
              </a:outerShdw>
            </a:effectLst>
          </c:spPr>
          <c:marker>
            <c:symbol val="none"/>
          </c:marker>
          <c:xVal>
            <c:numLit>
              <c:formatCode>General</c:formatCode>
              <c:ptCount val="100"/>
              <c:pt idx="0">
                <c:v>0</c:v>
              </c:pt>
              <c:pt idx="1">
                <c:v>0.74602692836360307</c:v>
              </c:pt>
              <c:pt idx="2">
                <c:v>1.5038729277523983</c:v>
              </c:pt>
              <c:pt idx="3">
                <c:v>2.2737732458848616</c:v>
              </c:pt>
              <c:pt idx="4">
                <c:v>3.0559687798199646</c:v>
              </c:pt>
              <c:pt idx="5">
                <c:v>3.8507062351650618</c:v>
              </c:pt>
              <c:pt idx="6">
                <c:v>4.6582382904444186</c:v>
              </c:pt>
              <c:pt idx="7">
                <c:v>5.4788237668174578</c:v>
              </c:pt>
              <c:pt idx="8">
                <c:v>6.3127278033445515</c:v>
              </c:pt>
              <c:pt idx="9">
                <c:v>7.160222038005104</c:v>
              </c:pt>
              <c:pt idx="10">
                <c:v>8.0215847946821484</c:v>
              </c:pt>
              <c:pt idx="11">
                <c:v>8.8971012763366595</c:v>
              </c:pt>
              <c:pt idx="12">
                <c:v>9.7870637646030048</c:v>
              </c:pt>
              <c:pt idx="13">
                <c:v>10.691771826048043</c:v>
              </c:pt>
              <c:pt idx="14">
                <c:v>11.611532525345559</c:v>
              </c:pt>
              <c:pt idx="15">
                <c:v>12.546660645629382</c:v>
              </c:pt>
              <c:pt idx="16">
                <c:v>13.497478916298478</c:v>
              </c:pt>
              <c:pt idx="17">
                <c:v>14.464318248560117</c:v>
              </c:pt>
              <c:pt idx="18">
                <c:v>15.447517979009236</c:v>
              </c:pt>
              <c:pt idx="19">
                <c:v>16.447426121554376</c:v>
              </c:pt>
              <c:pt idx="20">
                <c:v>17.464399628014856</c:v>
              </c:pt>
              <c:pt idx="21">
                <c:v>18.498804657727156</c:v>
              </c:pt>
              <c:pt idx="22">
                <c:v>19.551016856514604</c:v>
              </c:pt>
              <c:pt idx="23">
                <c:v>20.621421645387962</c:v>
              </c:pt>
              <c:pt idx="24">
                <c:v>21.710414519362608</c:v>
              </c:pt>
              <c:pt idx="25">
                <c:v>22.818401356794585</c:v>
              </c:pt>
              <c:pt idx="26">
                <c:v>23.945798739654833</c:v>
              </c:pt>
              <c:pt idx="27">
                <c:v>25.093034285180746</c:v>
              </c:pt>
              <c:pt idx="28">
                <c:v>26.26054698936424</c:v>
              </c:pt>
              <c:pt idx="29">
                <c:v>27.448787582754182</c:v>
              </c:pt>
              <c:pt idx="30">
                <c:v>28.658218899075695</c:v>
              </c:pt>
              <c:pt idx="31">
                <c:v>29.88931625718908</c:v>
              </c:pt>
              <c:pt idx="32">
                <c:v>31.142567856937259</c:v>
              </c:pt>
              <c:pt idx="33">
                <c:v>32.418475189454142</c:v>
              </c:pt>
              <c:pt idx="34">
                <c:v>33.717553462533743</c:v>
              </c:pt>
              <c:pt idx="35">
                <c:v>35.040332041688622</c:v>
              </c:pt>
              <c:pt idx="36">
                <c:v>36.387354907552812</c:v>
              </c:pt>
              <c:pt idx="37">
                <c:v>37.759181130319107</c:v>
              </c:pt>
              <c:pt idx="38">
                <c:v>39.15638536192926</c:v>
              </c:pt>
              <c:pt idx="39">
                <c:v>40.579558346773219</c:v>
              </c:pt>
              <c:pt idx="40">
                <c:v>42.029307451686762</c:v>
              </c:pt>
              <c:pt idx="41">
                <c:v>43.506257216076385</c:v>
              </c:pt>
              <c:pt idx="42">
                <c:v>45.011049923040353</c:v>
              </c:pt>
              <c:pt idx="43">
                <c:v>46.544346192395665</c:v>
              </c:pt>
              <c:pt idx="44">
                <c:v>48.106825596566146</c:v>
              </c:pt>
              <c:pt idx="45">
                <c:v>49.699187300333257</c:v>
              </c:pt>
              <c:pt idx="46">
                <c:v>51.32215072550089</c:v>
              </c:pt>
              <c:pt idx="47">
                <c:v>52.976456241576365</c:v>
              </c:pt>
              <c:pt idx="48">
                <c:v>54.662865883625777</c:v>
              </c:pt>
              <c:pt idx="49">
                <c:v>56.3821640985202</c:v>
              </c:pt>
              <c:pt idx="50">
                <c:v>58.135158520848179</c:v>
              </c:pt>
              <c:pt idx="51">
                <c:v>59.922680779837485</c:v>
              </c:pt>
              <c:pt idx="52">
                <c:v>61.745587338694278</c:v>
              </c:pt>
              <c:pt idx="53">
                <c:v>63.604760367843561</c:v>
              </c:pt>
              <c:pt idx="54">
                <c:v>65.50110865362673</c:v>
              </c:pt>
              <c:pt idx="55">
                <c:v>67.435568544095887</c:v>
              </c:pt>
              <c:pt idx="56">
                <c:v>69.409104933629038</c:v>
              </c:pt>
              <c:pt idx="57">
                <c:v>71.422712288179</c:v>
              </c:pt>
              <c:pt idx="58">
                <c:v>73.47741571306662</c:v>
              </c:pt>
              <c:pt idx="59">
                <c:v>75.574272065326781</c:v>
              </c:pt>
              <c:pt idx="60">
                <c:v>77.714371112727449</c:v>
              </c:pt>
              <c:pt idx="61">
                <c:v>79.898836741689394</c:v>
              </c:pt>
              <c:pt idx="62">
                <c:v>82.128828216458658</c:v>
              </c:pt>
              <c:pt idx="63">
                <c:v>84.405541492011039</c:v>
              </c:pt>
              <c:pt idx="64">
                <c:v>86.730210583299367</c:v>
              </c:pt>
              <c:pt idx="65">
                <c:v>89.104108993601542</c:v>
              </c:pt>
              <c:pt idx="66">
                <c:v>91.528551204877516</c:v>
              </c:pt>
              <c:pt idx="67">
                <c:v>94.004894233204894</c:v>
              </c:pt>
              <c:pt idx="68">
                <c:v>96.534539252533833</c:v>
              </c:pt>
              <c:pt idx="69">
                <c:v>99.118933290185808</c:v>
              </c:pt>
              <c:pt idx="70">
                <c:v>101.75957099771195</c:v>
              </c:pt>
              <c:pt idx="71">
                <c:v>104.4579965009341</c:v>
              </c:pt>
              <c:pt idx="72">
                <c:v>107.21580533321047</c:v>
              </c:pt>
              <c:pt idx="73">
                <c:v>110.03464645619972</c:v>
              </c:pt>
              <c:pt idx="74">
                <c:v>112.91622437264708</c:v>
              </c:pt>
              <c:pt idx="75">
                <c:v>115.86230133597726</c:v>
              </c:pt>
              <c:pt idx="76">
                <c:v>118.87469966176425</c:v>
              </c:pt>
              <c:pt idx="77">
                <c:v>121.95530414644355</c:v>
              </c:pt>
              <c:pt idx="78">
                <c:v>125.10606459895628</c:v>
              </c:pt>
              <c:pt idx="79">
                <c:v>128.32899849135222</c:v>
              </c:pt>
              <c:pt idx="80">
                <c:v>131.62619373474507</c:v>
              </c:pt>
              <c:pt idx="81">
                <c:v>134.99981158740178</c:v>
              </c:pt>
              <c:pt idx="82">
                <c:v>138.45208970216038</c:v>
              </c:pt>
              <c:pt idx="83">
                <c:v>141.98534532081968</c:v>
              </c:pt>
              <c:pt idx="84">
                <c:v>145.60197862361207</c:v>
              </c:pt>
              <c:pt idx="85">
                <c:v>149.30447624238431</c:v>
              </c:pt>
              <c:pt idx="86">
                <c:v>153.09541494665012</c:v>
              </c:pt>
              <c:pt idx="87">
                <c:v>156.97746551226155</c:v>
              </c:pt>
              <c:pt idx="88">
                <c:v>160.95339678307022</c:v>
              </c:pt>
              <c:pt idx="89">
                <c:v>165.02607993661431</c:v>
              </c:pt>
              <c:pt idx="90">
                <c:v>169.19849296558854</c:v>
              </c:pt>
              <c:pt idx="91">
                <c:v>173.47372538761567</c:v>
              </c:pt>
              <c:pt idx="92">
                <c:v>177.85498319667161</c:v>
              </c:pt>
              <c:pt idx="93">
                <c:v>182.34559407039509</c:v>
              </c:pt>
              <c:pt idx="94">
                <c:v>186.94901284846972</c:v>
              </c:pt>
              <c:pt idx="95">
                <c:v>191.66882729828995</c:v>
              </c:pt>
              <c:pt idx="96">
                <c:v>196.50876418522327</c:v>
              </c:pt>
              <c:pt idx="97">
                <c:v>201.4726956659685</c:v>
              </c:pt>
              <c:pt idx="98">
                <c:v>206.5646460247921</c:v>
              </c:pt>
              <c:pt idx="99">
                <c:v>211.78879877379302</c:v>
              </c:pt>
            </c:numLit>
          </c:xVal>
          <c:yVal>
            <c:numLit>
              <c:formatCode>General</c:formatCode>
              <c:ptCount val="100"/>
              <c:pt idx="0">
                <c:v>68.240994952632775</c:v>
              </c:pt>
              <c:pt idx="1">
                <c:v>66.906999882193986</c:v>
              </c:pt>
              <c:pt idx="2">
                <c:v>65.573004811755141</c:v>
              </c:pt>
              <c:pt idx="3">
                <c:v>64.239009741316352</c:v>
              </c:pt>
              <c:pt idx="4">
                <c:v>62.905014670877563</c:v>
              </c:pt>
              <c:pt idx="5">
                <c:v>61.571019600438774</c:v>
              </c:pt>
              <c:pt idx="6">
                <c:v>60.237024529999928</c:v>
              </c:pt>
              <c:pt idx="7">
                <c:v>58.903029459561139</c:v>
              </c:pt>
              <c:pt idx="8">
                <c:v>57.569034389122351</c:v>
              </c:pt>
              <c:pt idx="9">
                <c:v>56.235039318683505</c:v>
              </c:pt>
              <c:pt idx="10">
                <c:v>54.901044248244716</c:v>
              </c:pt>
              <c:pt idx="11">
                <c:v>53.567049177805927</c:v>
              </c:pt>
              <c:pt idx="12">
                <c:v>52.233054107367138</c:v>
              </c:pt>
              <c:pt idx="13">
                <c:v>50.899059036928293</c:v>
              </c:pt>
              <c:pt idx="14">
                <c:v>49.565063966489504</c:v>
              </c:pt>
              <c:pt idx="15">
                <c:v>48.231068896050715</c:v>
              </c:pt>
              <c:pt idx="16">
                <c:v>46.897073825611869</c:v>
              </c:pt>
              <c:pt idx="17">
                <c:v>45.56307875517308</c:v>
              </c:pt>
              <c:pt idx="18">
                <c:v>44.229083684734292</c:v>
              </c:pt>
              <c:pt idx="19">
                <c:v>42.895088614295503</c:v>
              </c:pt>
              <c:pt idx="20">
                <c:v>41.561093543856657</c:v>
              </c:pt>
              <c:pt idx="21">
                <c:v>40.227098473417868</c:v>
              </c:pt>
              <c:pt idx="22">
                <c:v>38.893103402979079</c:v>
              </c:pt>
              <c:pt idx="23">
                <c:v>37.559108332540234</c:v>
              </c:pt>
              <c:pt idx="24">
                <c:v>36.225113262101445</c:v>
              </c:pt>
              <c:pt idx="25">
                <c:v>34.891118191662656</c:v>
              </c:pt>
              <c:pt idx="26">
                <c:v>33.55712312122381</c:v>
              </c:pt>
              <c:pt idx="27">
                <c:v>32.223128050785022</c:v>
              </c:pt>
              <c:pt idx="28">
                <c:v>30.889132980346233</c:v>
              </c:pt>
              <c:pt idx="29">
                <c:v>29.555137909907444</c:v>
              </c:pt>
              <c:pt idx="30">
                <c:v>28.221142839468598</c:v>
              </c:pt>
              <c:pt idx="31">
                <c:v>26.887147769029809</c:v>
              </c:pt>
              <c:pt idx="32">
                <c:v>25.55315269859102</c:v>
              </c:pt>
              <c:pt idx="33">
                <c:v>24.219157628152175</c:v>
              </c:pt>
              <c:pt idx="34">
                <c:v>22.885162557713386</c:v>
              </c:pt>
              <c:pt idx="35">
                <c:v>21.551167487274597</c:v>
              </c:pt>
              <c:pt idx="36">
                <c:v>20.217172416835808</c:v>
              </c:pt>
              <c:pt idx="37">
                <c:v>18.883177346396963</c:v>
              </c:pt>
              <c:pt idx="38">
                <c:v>17.549182275958174</c:v>
              </c:pt>
              <c:pt idx="39">
                <c:v>16.215187205519385</c:v>
              </c:pt>
              <c:pt idx="40">
                <c:v>14.881192135080539</c:v>
              </c:pt>
              <c:pt idx="41">
                <c:v>13.54719706464175</c:v>
              </c:pt>
              <c:pt idx="42">
                <c:v>12.213201994202961</c:v>
              </c:pt>
              <c:pt idx="43">
                <c:v>10.879206923764173</c:v>
              </c:pt>
              <c:pt idx="44">
                <c:v>9.545211853325327</c:v>
              </c:pt>
              <c:pt idx="45">
                <c:v>8.2112167828865381</c:v>
              </c:pt>
              <c:pt idx="46">
                <c:v>6.8772217124477493</c:v>
              </c:pt>
              <c:pt idx="47">
                <c:v>5.5432266420089036</c:v>
              </c:pt>
              <c:pt idx="48">
                <c:v>4.2092315715701147</c:v>
              </c:pt>
              <c:pt idx="49">
                <c:v>2.8752365011313259</c:v>
              </c:pt>
              <c:pt idx="50">
                <c:v>1.5412414306925371</c:v>
              </c:pt>
              <c:pt idx="51">
                <c:v>0.20724636025369136</c:v>
              </c:pt>
              <c:pt idx="52">
                <c:v>-1.1267487101850975</c:v>
              </c:pt>
              <c:pt idx="53">
                <c:v>-2.4607437806238863</c:v>
              </c:pt>
              <c:pt idx="54">
                <c:v>-3.794738851062732</c:v>
              </c:pt>
              <c:pt idx="55">
                <c:v>-5.1287339215015209</c:v>
              </c:pt>
              <c:pt idx="56">
                <c:v>-6.4627289919403097</c:v>
              </c:pt>
              <c:pt idx="57">
                <c:v>-7.7967240623790985</c:v>
              </c:pt>
              <c:pt idx="58">
                <c:v>-9.1307191328179442</c:v>
              </c:pt>
              <c:pt idx="59">
                <c:v>-10.464714203256733</c:v>
              </c:pt>
              <c:pt idx="60">
                <c:v>-11.798709273695522</c:v>
              </c:pt>
              <c:pt idx="61">
                <c:v>-13.132704344134368</c:v>
              </c:pt>
              <c:pt idx="62">
                <c:v>-14.466699414573156</c:v>
              </c:pt>
              <c:pt idx="63">
                <c:v>-15.800694485011945</c:v>
              </c:pt>
              <c:pt idx="64">
                <c:v>-17.134689555450791</c:v>
              </c:pt>
              <c:pt idx="65">
                <c:v>-18.46868462588958</c:v>
              </c:pt>
              <c:pt idx="66">
                <c:v>-19.802679696328369</c:v>
              </c:pt>
              <c:pt idx="67">
                <c:v>-21.136674766767186</c:v>
              </c:pt>
              <c:pt idx="68">
                <c:v>-22.470669837205975</c:v>
              </c:pt>
              <c:pt idx="69">
                <c:v>-23.804664907644792</c:v>
              </c:pt>
              <c:pt idx="70">
                <c:v>-25.138659978083581</c:v>
              </c:pt>
              <c:pt idx="71">
                <c:v>-26.472655048522398</c:v>
              </c:pt>
              <c:pt idx="72">
                <c:v>-27.806650118961215</c:v>
              </c:pt>
              <c:pt idx="73">
                <c:v>-29.140645189400004</c:v>
              </c:pt>
              <c:pt idx="74">
                <c:v>-30.474640259838822</c:v>
              </c:pt>
              <c:pt idx="75">
                <c:v>-31.80863533027761</c:v>
              </c:pt>
              <c:pt idx="76">
                <c:v>-33.142630400716428</c:v>
              </c:pt>
              <c:pt idx="77">
                <c:v>-34.476625471155245</c:v>
              </c:pt>
              <c:pt idx="78">
                <c:v>-35.810620541594034</c:v>
              </c:pt>
              <c:pt idx="79">
                <c:v>-37.144615612032851</c:v>
              </c:pt>
              <c:pt idx="80">
                <c:v>-38.47861068247164</c:v>
              </c:pt>
              <c:pt idx="81">
                <c:v>-39.812605752910457</c:v>
              </c:pt>
              <c:pt idx="82">
                <c:v>-41.146600823349246</c:v>
              </c:pt>
              <c:pt idx="83">
                <c:v>-42.480595893788063</c:v>
              </c:pt>
              <c:pt idx="84">
                <c:v>-43.81459096422688</c:v>
              </c:pt>
              <c:pt idx="85">
                <c:v>-45.148586034665669</c:v>
              </c:pt>
              <c:pt idx="86">
                <c:v>-46.482581105104487</c:v>
              </c:pt>
              <c:pt idx="87">
                <c:v>-47.816576175543275</c:v>
              </c:pt>
              <c:pt idx="88">
                <c:v>-49.150571245982093</c:v>
              </c:pt>
              <c:pt idx="89">
                <c:v>-50.484566316420882</c:v>
              </c:pt>
              <c:pt idx="90">
                <c:v>-51.818561386859699</c:v>
              </c:pt>
              <c:pt idx="91">
                <c:v>-53.152556457298516</c:v>
              </c:pt>
              <c:pt idx="92">
                <c:v>-54.486551527737305</c:v>
              </c:pt>
              <c:pt idx="93">
                <c:v>-55.820546598176122</c:v>
              </c:pt>
              <c:pt idx="94">
                <c:v>-57.154541668614911</c:v>
              </c:pt>
              <c:pt idx="95">
                <c:v>-58.488536739053728</c:v>
              </c:pt>
              <c:pt idx="96">
                <c:v>-59.822531809492546</c:v>
              </c:pt>
              <c:pt idx="97">
                <c:v>-61.156526879931334</c:v>
              </c:pt>
              <c:pt idx="98">
                <c:v>-62.490521950370152</c:v>
              </c:pt>
              <c:pt idx="99">
                <c:v>-63.824517020808941</c:v>
              </c:pt>
            </c:numLit>
          </c:yVal>
          <c:smooth val="0"/>
          <c:extLst>
            <c:ext xmlns:c16="http://schemas.microsoft.com/office/drawing/2014/chart" uri="{C3380CC4-5D6E-409C-BE32-E72D297353CC}">
              <c16:uniqueId val="{00000009-468D-405B-94A7-D9E291E45987}"/>
            </c:ext>
          </c:extLst>
        </c:ser>
        <c:dLbls>
          <c:showLegendKey val="0"/>
          <c:showVal val="0"/>
          <c:showCatName val="0"/>
          <c:showSerName val="0"/>
          <c:showPercent val="0"/>
          <c:showBubbleSize val="0"/>
        </c:dLbls>
        <c:axId val="847942552"/>
        <c:axId val="847936648"/>
      </c:scatterChart>
      <c:valAx>
        <c:axId val="847942552"/>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Time[Min]</a:t>
                </a:r>
              </a:p>
            </c:rich>
          </c:tx>
          <c:layout/>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47936648"/>
        <c:crosses val="autoZero"/>
        <c:crossBetween val="midCat"/>
      </c:valAx>
      <c:valAx>
        <c:axId val="847936648"/>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r>
                  <a:rPr lang="en-GB"/>
                  <a:t>Temperature[C]</a:t>
                </a:r>
              </a:p>
            </c:rich>
          </c:tx>
          <c:layout/>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8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847942552"/>
        <c:crosses val="autoZero"/>
        <c:crossBetween val="midCat"/>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Minimum equilibrium temperature Vs Alpha and Eps</a:t>
            </a:r>
          </a:p>
        </c:rich>
      </c:tx>
      <c:layout/>
      <c:overlay val="0"/>
      <c:spPr>
        <a:noFill/>
        <a:ln>
          <a:noFill/>
        </a:ln>
        <a:effectLst/>
      </c:spPr>
    </c:title>
    <c:autoTitleDeleted val="0"/>
    <c:view3D>
      <c:rotX val="15"/>
      <c:rotY val="3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surface3DChart>
        <c:wireframe val="0"/>
        <c:ser>
          <c:idx val="0"/>
          <c:order val="0"/>
          <c:tx>
            <c:v>0,2</c:v>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87.00916390455717</c:v>
              </c:pt>
              <c:pt idx="1">
                <c:v>87.00916390455717</c:v>
              </c:pt>
              <c:pt idx="2">
                <c:v>87.00916390455717</c:v>
              </c:pt>
              <c:pt idx="3">
                <c:v>87.00916390455717</c:v>
              </c:pt>
              <c:pt idx="4">
                <c:v>87.00916390455717</c:v>
              </c:pt>
              <c:pt idx="5">
                <c:v>87.00916390455717</c:v>
              </c:pt>
              <c:pt idx="6">
                <c:v>87.00916390455717</c:v>
              </c:pt>
              <c:pt idx="7">
                <c:v>87.00916390455717</c:v>
              </c:pt>
              <c:pt idx="8">
                <c:v>87.00916390455717</c:v>
              </c:pt>
              <c:pt idx="9">
                <c:v>87.00916390455717</c:v>
              </c:pt>
            </c:numLit>
          </c:val>
          <c:extLst>
            <c:ext xmlns:c16="http://schemas.microsoft.com/office/drawing/2014/chart" uri="{C3380CC4-5D6E-409C-BE32-E72D297353CC}">
              <c16:uniqueId val="{0000000F-7547-4BFB-9BEF-D649F7773203}"/>
            </c:ext>
          </c:extLst>
        </c:ser>
        <c:ser>
          <c:idx val="1"/>
          <c:order val="1"/>
          <c:tx>
            <c:v>0,3</c:v>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29.843936120278272</c:v>
              </c:pt>
              <c:pt idx="1">
                <c:v>29.843936120278272</c:v>
              </c:pt>
              <c:pt idx="2">
                <c:v>29.843936120278272</c:v>
              </c:pt>
              <c:pt idx="3">
                <c:v>29.843936120278272</c:v>
              </c:pt>
              <c:pt idx="4">
                <c:v>29.843936120278272</c:v>
              </c:pt>
              <c:pt idx="5">
                <c:v>29.843936120278272</c:v>
              </c:pt>
              <c:pt idx="6">
                <c:v>29.843936120278272</c:v>
              </c:pt>
              <c:pt idx="7">
                <c:v>29.843936120278272</c:v>
              </c:pt>
              <c:pt idx="8">
                <c:v>29.843936120278272</c:v>
              </c:pt>
              <c:pt idx="9">
                <c:v>29.843936120278272</c:v>
              </c:pt>
            </c:numLit>
          </c:val>
          <c:extLst>
            <c:ext xmlns:c16="http://schemas.microsoft.com/office/drawing/2014/chart" uri="{C3380CC4-5D6E-409C-BE32-E72D297353CC}">
              <c16:uniqueId val="{00000010-7547-4BFB-9BEF-D649F7773203}"/>
            </c:ext>
          </c:extLst>
        </c:ser>
        <c:ser>
          <c:idx val="2"/>
          <c:order val="2"/>
          <c:tx>
            <c:v>0,4</c:v>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0.75990163056519577</c:v>
              </c:pt>
              <c:pt idx="1">
                <c:v>0.75990163056519577</c:v>
              </c:pt>
              <c:pt idx="2">
                <c:v>0.75990163056519577</c:v>
              </c:pt>
              <c:pt idx="3">
                <c:v>0.75990163056519577</c:v>
              </c:pt>
              <c:pt idx="4">
                <c:v>0.75990163056519577</c:v>
              </c:pt>
              <c:pt idx="5">
                <c:v>0.75990163056519577</c:v>
              </c:pt>
              <c:pt idx="6">
                <c:v>0.75990163056519577</c:v>
              </c:pt>
              <c:pt idx="7">
                <c:v>0.75990163056519577</c:v>
              </c:pt>
              <c:pt idx="8">
                <c:v>0.75990163056519577</c:v>
              </c:pt>
              <c:pt idx="9">
                <c:v>0.75990163056519577</c:v>
              </c:pt>
            </c:numLit>
          </c:val>
          <c:extLst>
            <c:ext xmlns:c16="http://schemas.microsoft.com/office/drawing/2014/chart" uri="{C3380CC4-5D6E-409C-BE32-E72D297353CC}">
              <c16:uniqueId val="{00000011-7547-4BFB-9BEF-D649F7773203}"/>
            </c:ext>
          </c:extLst>
        </c:ser>
        <c:ser>
          <c:idx val="3"/>
          <c:order val="3"/>
          <c:tx>
            <c:v>0,5</c:v>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-18.132900340785085</c:v>
              </c:pt>
              <c:pt idx="1">
                <c:v>-18.132900340785085</c:v>
              </c:pt>
              <c:pt idx="2">
                <c:v>-18.132900340785085</c:v>
              </c:pt>
              <c:pt idx="3">
                <c:v>-18.132900340785085</c:v>
              </c:pt>
              <c:pt idx="4">
                <c:v>-18.132900340785085</c:v>
              </c:pt>
              <c:pt idx="5">
                <c:v>-18.132900340785085</c:v>
              </c:pt>
              <c:pt idx="6">
                <c:v>-18.132900340785085</c:v>
              </c:pt>
              <c:pt idx="7">
                <c:v>-18.132900340785085</c:v>
              </c:pt>
              <c:pt idx="8">
                <c:v>-18.132900340785085</c:v>
              </c:pt>
              <c:pt idx="9">
                <c:v>-18.132900340785085</c:v>
              </c:pt>
            </c:numLit>
          </c:val>
          <c:extLst>
            <c:ext xmlns:c16="http://schemas.microsoft.com/office/drawing/2014/chart" uri="{C3380CC4-5D6E-409C-BE32-E72D297353CC}">
              <c16:uniqueId val="{00000012-7547-4BFB-9BEF-D649F7773203}"/>
            </c:ext>
          </c:extLst>
        </c:ser>
        <c:ser>
          <c:idx val="4"/>
          <c:order val="4"/>
          <c:tx>
            <c:v>0,6</c:v>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-31.860902424222701</c:v>
              </c:pt>
              <c:pt idx="1">
                <c:v>-31.860902424222701</c:v>
              </c:pt>
              <c:pt idx="2">
                <c:v>-31.860902424222701</c:v>
              </c:pt>
              <c:pt idx="3">
                <c:v>-31.860902424222701</c:v>
              </c:pt>
              <c:pt idx="4">
                <c:v>-31.860902424222701</c:v>
              </c:pt>
              <c:pt idx="5">
                <c:v>-31.860902424222701</c:v>
              </c:pt>
              <c:pt idx="6">
                <c:v>-31.860902424222701</c:v>
              </c:pt>
              <c:pt idx="7">
                <c:v>-31.860902424222701</c:v>
              </c:pt>
              <c:pt idx="8">
                <c:v>-31.860902424222701</c:v>
              </c:pt>
              <c:pt idx="9">
                <c:v>-31.860902424222701</c:v>
              </c:pt>
            </c:numLit>
          </c:val>
          <c:extLst>
            <c:ext xmlns:c16="http://schemas.microsoft.com/office/drawing/2014/chart" uri="{C3380CC4-5D6E-409C-BE32-E72D297353CC}">
              <c16:uniqueId val="{00000013-7547-4BFB-9BEF-D649F7773203}"/>
            </c:ext>
          </c:extLst>
        </c:ser>
        <c:ser>
          <c:idx val="5"/>
          <c:order val="5"/>
          <c:tx>
            <c:v>0,7</c:v>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-42.508244443817034</c:v>
              </c:pt>
              <c:pt idx="1">
                <c:v>-42.508244443817034</c:v>
              </c:pt>
              <c:pt idx="2">
                <c:v>-42.508244443817034</c:v>
              </c:pt>
              <c:pt idx="3">
                <c:v>-42.508244443817034</c:v>
              </c:pt>
              <c:pt idx="4">
                <c:v>-42.508244443817034</c:v>
              </c:pt>
              <c:pt idx="5">
                <c:v>-42.508244443817034</c:v>
              </c:pt>
              <c:pt idx="6">
                <c:v>-42.508244443817034</c:v>
              </c:pt>
              <c:pt idx="7">
                <c:v>-42.508244443817034</c:v>
              </c:pt>
              <c:pt idx="8">
                <c:v>-42.508244443817034</c:v>
              </c:pt>
              <c:pt idx="9">
                <c:v>-42.508244443817034</c:v>
              </c:pt>
            </c:numLit>
          </c:val>
          <c:extLst>
            <c:ext xmlns:c16="http://schemas.microsoft.com/office/drawing/2014/chart" uri="{C3380CC4-5D6E-409C-BE32-E72D297353CC}">
              <c16:uniqueId val="{00000014-7547-4BFB-9BEF-D649F7773203}"/>
            </c:ext>
          </c:extLst>
        </c:ser>
        <c:ser>
          <c:idx val="6"/>
          <c:order val="6"/>
          <c:tx>
            <c:v>0,8</c:v>
          </c:tx>
          <c:spPr>
            <a:gradFill rotWithShape="1">
              <a:gsLst>
                <a:gs pos="0">
                  <a:schemeClr val="accent1">
                    <a:lumMod val="60000"/>
                    <a:shade val="51000"/>
                    <a:satMod val="130000"/>
                  </a:schemeClr>
                </a:gs>
                <a:gs pos="80000">
                  <a:schemeClr val="accent1">
                    <a:lumMod val="60000"/>
                    <a:shade val="93000"/>
                    <a:satMod val="130000"/>
                  </a:schemeClr>
                </a:gs>
                <a:gs pos="100000">
                  <a:schemeClr val="accent1">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-51.12778373842778</c:v>
              </c:pt>
              <c:pt idx="1">
                <c:v>-51.12778373842778</c:v>
              </c:pt>
              <c:pt idx="2">
                <c:v>-51.12778373842778</c:v>
              </c:pt>
              <c:pt idx="3">
                <c:v>-51.12778373842778</c:v>
              </c:pt>
              <c:pt idx="4">
                <c:v>-51.12778373842778</c:v>
              </c:pt>
              <c:pt idx="5">
                <c:v>-51.12778373842778</c:v>
              </c:pt>
              <c:pt idx="6">
                <c:v>-51.12778373842778</c:v>
              </c:pt>
              <c:pt idx="7">
                <c:v>-51.12778373842778</c:v>
              </c:pt>
              <c:pt idx="8">
                <c:v>-51.12778373842778</c:v>
              </c:pt>
              <c:pt idx="9">
                <c:v>-51.12778373842778</c:v>
              </c:pt>
            </c:numLit>
          </c:val>
          <c:extLst>
            <c:ext xmlns:c16="http://schemas.microsoft.com/office/drawing/2014/chart" uri="{C3380CC4-5D6E-409C-BE32-E72D297353CC}">
              <c16:uniqueId val="{00000015-7547-4BFB-9BEF-D649F7773203}"/>
            </c:ext>
          </c:extLst>
        </c:ser>
        <c:ser>
          <c:idx val="7"/>
          <c:order val="7"/>
          <c:tx>
            <c:v>0,9</c:v>
          </c:tx>
          <c:spPr>
            <a:gradFill rotWithShape="1">
              <a:gsLst>
                <a:gs pos="0">
                  <a:schemeClr val="accent2">
                    <a:lumMod val="60000"/>
                    <a:shade val="51000"/>
                    <a:satMod val="130000"/>
                  </a:schemeClr>
                </a:gs>
                <a:gs pos="80000">
                  <a:schemeClr val="accent2">
                    <a:lumMod val="60000"/>
                    <a:shade val="93000"/>
                    <a:satMod val="130000"/>
                  </a:schemeClr>
                </a:gs>
                <a:gs pos="100000">
                  <a:schemeClr val="accent2">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-58.320809310036452</c:v>
              </c:pt>
              <c:pt idx="1">
                <c:v>-58.320809310036452</c:v>
              </c:pt>
              <c:pt idx="2">
                <c:v>-58.320809310036452</c:v>
              </c:pt>
              <c:pt idx="3">
                <c:v>-58.320809310036452</c:v>
              </c:pt>
              <c:pt idx="4">
                <c:v>-58.320809310036452</c:v>
              </c:pt>
              <c:pt idx="5">
                <c:v>-58.320809310036452</c:v>
              </c:pt>
              <c:pt idx="6">
                <c:v>-58.320809310036452</c:v>
              </c:pt>
              <c:pt idx="7">
                <c:v>-58.320809310036452</c:v>
              </c:pt>
              <c:pt idx="8">
                <c:v>-58.320809310036452</c:v>
              </c:pt>
              <c:pt idx="9">
                <c:v>-58.320809310036452</c:v>
              </c:pt>
            </c:numLit>
          </c:val>
          <c:extLst>
            <c:ext xmlns:c16="http://schemas.microsoft.com/office/drawing/2014/chart" uri="{C3380CC4-5D6E-409C-BE32-E72D297353CC}">
              <c16:uniqueId val="{00000016-7547-4BFB-9BEF-D649F7773203}"/>
            </c:ext>
          </c:extLst>
        </c:ser>
        <c:ser>
          <c:idx val="8"/>
          <c:order val="8"/>
          <c:tx>
            <c:v>1</c:v>
          </c:tx>
          <c:spPr>
            <a:gradFill rotWithShape="1">
              <a:gsLst>
                <a:gs pos="0">
                  <a:schemeClr val="accent3">
                    <a:lumMod val="60000"/>
                    <a:shade val="51000"/>
                    <a:satMod val="130000"/>
                  </a:schemeClr>
                </a:gs>
                <a:gs pos="80000">
                  <a:schemeClr val="accent3">
                    <a:lumMod val="60000"/>
                    <a:shade val="93000"/>
                    <a:satMod val="130000"/>
                  </a:schemeClr>
                </a:gs>
                <a:gs pos="100000">
                  <a:schemeClr val="accent3">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-64.4609518127466</c:v>
              </c:pt>
              <c:pt idx="1">
                <c:v>-64.4609518127466</c:v>
              </c:pt>
              <c:pt idx="2">
                <c:v>-64.4609518127466</c:v>
              </c:pt>
              <c:pt idx="3">
                <c:v>-64.4609518127466</c:v>
              </c:pt>
              <c:pt idx="4">
                <c:v>-64.4609518127466</c:v>
              </c:pt>
              <c:pt idx="5">
                <c:v>-64.4609518127466</c:v>
              </c:pt>
              <c:pt idx="6">
                <c:v>-64.4609518127466</c:v>
              </c:pt>
              <c:pt idx="7">
                <c:v>-64.4609518127466</c:v>
              </c:pt>
              <c:pt idx="8">
                <c:v>-64.4609518127466</c:v>
              </c:pt>
              <c:pt idx="9">
                <c:v>-64.4609518127466</c:v>
              </c:pt>
            </c:numLit>
          </c:val>
          <c:extLst>
            <c:ext xmlns:c16="http://schemas.microsoft.com/office/drawing/2014/chart" uri="{C3380CC4-5D6E-409C-BE32-E72D297353CC}">
              <c16:uniqueId val="{00000017-7547-4BFB-9BEF-D649F7773203}"/>
            </c:ext>
          </c:extLst>
        </c:ser>
        <c:bandFmts>
          <c:bandFmt>
            <c:idx val="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2"/>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3"/>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4"/>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5"/>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6"/>
            <c:spPr>
              <a:gradFill rotWithShape="1">
                <a:gsLst>
                  <a:gs pos="0">
                    <a:schemeClr val="accent1">
                      <a:lumMod val="60000"/>
                      <a:shade val="51000"/>
                      <a:satMod val="130000"/>
                    </a:schemeClr>
                  </a:gs>
                  <a:gs pos="80000">
                    <a:schemeClr val="accent1">
                      <a:lumMod val="60000"/>
                      <a:shade val="93000"/>
                      <a:satMod val="130000"/>
                    </a:schemeClr>
                  </a:gs>
                  <a:gs pos="100000">
                    <a:schemeClr val="accent1">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7"/>
            <c:spPr>
              <a:gradFill rotWithShape="1">
                <a:gsLst>
                  <a:gs pos="0">
                    <a:schemeClr val="accent2">
                      <a:lumMod val="60000"/>
                      <a:shade val="51000"/>
                      <a:satMod val="130000"/>
                    </a:schemeClr>
                  </a:gs>
                  <a:gs pos="80000">
                    <a:schemeClr val="accent2">
                      <a:lumMod val="60000"/>
                      <a:shade val="93000"/>
                      <a:satMod val="130000"/>
                    </a:schemeClr>
                  </a:gs>
                  <a:gs pos="100000">
                    <a:schemeClr val="accent2">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8"/>
            <c:spPr>
              <a:gradFill rotWithShape="1">
                <a:gsLst>
                  <a:gs pos="0">
                    <a:schemeClr val="accent3">
                      <a:lumMod val="60000"/>
                      <a:shade val="51000"/>
                      <a:satMod val="130000"/>
                    </a:schemeClr>
                  </a:gs>
                  <a:gs pos="80000">
                    <a:schemeClr val="accent3">
                      <a:lumMod val="60000"/>
                      <a:shade val="93000"/>
                      <a:satMod val="130000"/>
                    </a:schemeClr>
                  </a:gs>
                  <a:gs pos="100000">
                    <a:schemeClr val="accent3">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9"/>
            <c:spPr>
              <a:gradFill rotWithShape="1">
                <a:gsLst>
                  <a:gs pos="0">
                    <a:schemeClr val="accent4">
                      <a:lumMod val="60000"/>
                      <a:shade val="51000"/>
                      <a:satMod val="130000"/>
                    </a:schemeClr>
                  </a:gs>
                  <a:gs pos="80000">
                    <a:schemeClr val="accent4">
                      <a:lumMod val="60000"/>
                      <a:shade val="93000"/>
                      <a:satMod val="130000"/>
                    </a:schemeClr>
                  </a:gs>
                  <a:gs pos="100000">
                    <a:schemeClr val="accent4">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0"/>
            <c:spPr>
              <a:gradFill rotWithShape="1">
                <a:gsLst>
                  <a:gs pos="0">
                    <a:schemeClr val="accent5">
                      <a:lumMod val="60000"/>
                      <a:shade val="51000"/>
                      <a:satMod val="130000"/>
                    </a:schemeClr>
                  </a:gs>
                  <a:gs pos="80000">
                    <a:schemeClr val="accent5">
                      <a:lumMod val="60000"/>
                      <a:shade val="93000"/>
                      <a:satMod val="130000"/>
                    </a:schemeClr>
                  </a:gs>
                  <a:gs pos="100000">
                    <a:schemeClr val="accent5">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1"/>
            <c:spPr>
              <a:gradFill rotWithShape="1">
                <a:gsLst>
                  <a:gs pos="0">
                    <a:schemeClr val="accent6">
                      <a:lumMod val="60000"/>
                      <a:shade val="51000"/>
                      <a:satMod val="130000"/>
                    </a:schemeClr>
                  </a:gs>
                  <a:gs pos="80000">
                    <a:schemeClr val="accent6">
                      <a:lumMod val="60000"/>
                      <a:shade val="93000"/>
                      <a:satMod val="130000"/>
                    </a:schemeClr>
                  </a:gs>
                  <a:gs pos="100000">
                    <a:schemeClr val="accent6">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2"/>
            <c:spPr>
              <a:gradFill rotWithShape="1">
                <a:gsLst>
                  <a:gs pos="0">
                    <a:schemeClr val="accent1">
                      <a:lumMod val="80000"/>
                      <a:lumOff val="20000"/>
                      <a:shade val="51000"/>
                      <a:satMod val="130000"/>
                    </a:schemeClr>
                  </a:gs>
                  <a:gs pos="80000">
                    <a:schemeClr val="accent1">
                      <a:lumMod val="80000"/>
                      <a:lumOff val="20000"/>
                      <a:shade val="93000"/>
                      <a:satMod val="130000"/>
                    </a:schemeClr>
                  </a:gs>
                  <a:gs pos="100000">
                    <a:schemeClr val="accent1">
                      <a:lumMod val="80000"/>
                      <a:lumOff val="2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3"/>
            <c:spPr>
              <a:gradFill rotWithShape="1">
                <a:gsLst>
                  <a:gs pos="0">
                    <a:schemeClr val="accent2">
                      <a:lumMod val="80000"/>
                      <a:lumOff val="20000"/>
                      <a:shade val="51000"/>
                      <a:satMod val="130000"/>
                    </a:schemeClr>
                  </a:gs>
                  <a:gs pos="80000">
                    <a:schemeClr val="accent2">
                      <a:lumMod val="80000"/>
                      <a:lumOff val="20000"/>
                      <a:shade val="93000"/>
                      <a:satMod val="130000"/>
                    </a:schemeClr>
                  </a:gs>
                  <a:gs pos="100000">
                    <a:schemeClr val="accent2">
                      <a:lumMod val="80000"/>
                      <a:lumOff val="2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4"/>
            <c:spPr>
              <a:gradFill rotWithShape="1">
                <a:gsLst>
                  <a:gs pos="0">
                    <a:schemeClr val="accent3">
                      <a:lumMod val="80000"/>
                      <a:lumOff val="20000"/>
                      <a:shade val="51000"/>
                      <a:satMod val="130000"/>
                    </a:schemeClr>
                  </a:gs>
                  <a:gs pos="80000">
                    <a:schemeClr val="accent3">
                      <a:lumMod val="80000"/>
                      <a:lumOff val="20000"/>
                      <a:shade val="93000"/>
                      <a:satMod val="130000"/>
                    </a:schemeClr>
                  </a:gs>
                  <a:gs pos="100000">
                    <a:schemeClr val="accent3">
                      <a:lumMod val="80000"/>
                      <a:lumOff val="2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s>
        <c:axId val="548508832"/>
        <c:axId val="548504896"/>
        <c:axId val="537409560"/>
      </c:surface3DChart>
      <c:catAx>
        <c:axId val="548508832"/>
        <c:scaling>
          <c:orientation val="minMax"/>
        </c:scaling>
        <c:delete val="0"/>
        <c:axPos val="b"/>
        <c:title>
          <c:tx>
            <c:rich>
              <a:bodyPr rot="0" spcFirstLastPara="1" vertOverflow="ellipsis" vert="horz" wrap="square" anchor="ctr" anchorCtr="1"/>
              <a:lstStyle/>
              <a:p>
                <a:pPr>
                  <a:defRPr sz="700" b="1" i="0" u="none" strike="noStrike" kern="1200" cap="all" baseline="0">
                    <a:solidFill>
                      <a:schemeClr val="lt1">
                        <a:lumMod val="85000"/>
                      </a:schemeClr>
                    </a:solidFill>
                    <a:latin typeface="+mn-lt"/>
                    <a:ea typeface="+mn-ea"/>
                    <a:cs typeface="+mn-cs"/>
                  </a:defRPr>
                </a:pPr>
                <a:r>
                  <a:rPr lang="en-GB"/>
                  <a:t>Alpha</a:t>
                </a:r>
              </a:p>
            </c:rich>
          </c:tx>
          <c:layout/>
          <c:overlay val="0"/>
          <c:spPr>
            <a:noFill/>
            <a:ln>
              <a:noFill/>
            </a:ln>
            <a:effectLst/>
          </c:sp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48504896"/>
        <c:crosses val="autoZero"/>
        <c:auto val="1"/>
        <c:lblAlgn val="ctr"/>
        <c:lblOffset val="100"/>
        <c:noMultiLvlLbl val="0"/>
      </c:catAx>
      <c:valAx>
        <c:axId val="54850489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700" b="1" i="0" u="none" strike="noStrike" kern="1200" cap="all" baseline="0">
                    <a:solidFill>
                      <a:schemeClr val="lt1">
                        <a:lumMod val="85000"/>
                      </a:schemeClr>
                    </a:solidFill>
                    <a:latin typeface="+mn-lt"/>
                    <a:ea typeface="+mn-ea"/>
                    <a:cs typeface="+mn-cs"/>
                  </a:defRPr>
                </a:pPr>
                <a:r>
                  <a:rPr lang="en-GB"/>
                  <a:t>Temperature[C]</a:t>
                </a:r>
              </a:p>
            </c:rich>
          </c:tx>
          <c:layout/>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48508832"/>
        <c:crosses val="autoZero"/>
        <c:crossBetween val="midCat"/>
      </c:valAx>
      <c:serAx>
        <c:axId val="537409560"/>
        <c:scaling>
          <c:orientation val="maxMin"/>
        </c:scaling>
        <c:delete val="0"/>
        <c:axPos val="b"/>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48504896"/>
        <c:crosses val="autoZero"/>
      </c:serAx>
      <c:spPr>
        <a:noFill/>
        <a:ln>
          <a:noFill/>
        </a:ln>
        <a:effectLst/>
      </c:spPr>
    </c:plotArea>
    <c:legend>
      <c:legendPos val="b"/>
      <c:layout/>
      <c:overlay val="0"/>
      <c:spPr>
        <a:noFill/>
        <a:ln>
          <a:no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1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US"/>
              <a:t>Max equilibrium temperature Vs Alpha and Eps</a:t>
            </a:r>
          </a:p>
        </c:rich>
      </c:tx>
      <c:layout/>
      <c:overlay val="0"/>
      <c:spPr>
        <a:noFill/>
        <a:ln>
          <a:noFill/>
        </a:ln>
        <a:effectLst/>
      </c:spPr>
    </c:title>
    <c:autoTitleDeleted val="0"/>
    <c:view3D>
      <c:rotX val="15"/>
      <c:rotY val="3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surface3DChart>
        <c:wireframe val="0"/>
        <c:ser>
          <c:idx val="0"/>
          <c:order val="0"/>
          <c:tx>
            <c:v>0,2</c:v>
          </c:tx>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93.128635428369762</c:v>
              </c:pt>
              <c:pt idx="1">
                <c:v>123.22622986349319</c:v>
              </c:pt>
              <c:pt idx="2">
                <c:v>147.7038560385476</c:v>
              </c:pt>
              <c:pt idx="3">
                <c:v>168.53005983905234</c:v>
              </c:pt>
              <c:pt idx="4">
                <c:v>186.76797673557974</c:v>
              </c:pt>
              <c:pt idx="5">
                <c:v>217.8382638898064</c:v>
              </c:pt>
              <c:pt idx="6">
                <c:v>231.38866907969907</c:v>
              </c:pt>
              <c:pt idx="7">
                <c:v>243.92766814386903</c:v>
              </c:pt>
              <c:pt idx="8">
                <c:v>255.61560136578203</c:v>
              </c:pt>
              <c:pt idx="9">
                <c:v>266.57615649229569</c:v>
              </c:pt>
            </c:numLit>
          </c:val>
          <c:extLst>
            <c:ext xmlns:c16="http://schemas.microsoft.com/office/drawing/2014/chart" uri="{C3380CC4-5D6E-409C-BE32-E72D297353CC}">
              <c16:uniqueId val="{0000000F-14A8-4143-887D-B34D943788DC}"/>
            </c:ext>
          </c:extLst>
        </c:ser>
        <c:ser>
          <c:idx val="1"/>
          <c:order val="1"/>
          <c:tx>
            <c:v>0,3</c:v>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55.741501857615049</c:v>
              </c:pt>
              <c:pt idx="1">
                <c:v>77.0677637300941</c:v>
              </c:pt>
              <c:pt idx="2">
                <c:v>95.085227659697466</c:v>
              </c:pt>
              <c:pt idx="3">
                <c:v>110.78944824621465</c:v>
              </c:pt>
              <c:pt idx="4">
                <c:v>124.77343752602195</c:v>
              </c:pt>
              <c:pt idx="5">
                <c:v>148.99810142225459</c:v>
              </c:pt>
              <c:pt idx="6">
                <c:v>159.69376829460498</c:v>
              </c:pt>
              <c:pt idx="7">
                <c:v>169.65062634862977</c:v>
              </c:pt>
              <c:pt idx="8">
                <c:v>178.97779244446042</c:v>
              </c:pt>
              <c:pt idx="9">
                <c:v>187.76101489985581</c:v>
              </c:pt>
            </c:numLit>
          </c:val>
          <c:extLst>
            <c:ext xmlns:c16="http://schemas.microsoft.com/office/drawing/2014/chart" uri="{C3380CC4-5D6E-409C-BE32-E72D297353CC}">
              <c16:uniqueId val="{00000010-14A8-4143-887D-B34D943788DC}"/>
            </c:ext>
          </c:extLst>
        </c:ser>
        <c:ser>
          <c:idx val="2"/>
          <c:order val="2"/>
          <c:tx>
            <c:v>0,4</c:v>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39.877106922826044</c:v>
              </c:pt>
              <c:pt idx="1">
                <c:v>56.645865969834631</c:v>
              </c:pt>
              <c:pt idx="2">
                <c:v>71.188059677798094</c:v>
              </c:pt>
              <c:pt idx="3">
                <c:v>84.091143755585279</c:v>
              </c:pt>
              <c:pt idx="4">
                <c:v>95.730547018464847</c:v>
              </c:pt>
              <c:pt idx="5">
                <c:v>116.16841156049145</c:v>
              </c:pt>
              <c:pt idx="6">
                <c:v>125.28518523007415</c:v>
              </c:pt>
              <c:pt idx="7">
                <c:v>133.81589523048575</c:v>
              </c:pt>
              <c:pt idx="8">
                <c:v>141.84156156760133</c:v>
              </c:pt>
              <c:pt idx="9">
                <c:v>149.42688289589984</c:v>
              </c:pt>
            </c:numLit>
          </c:val>
          <c:extLst>
            <c:ext xmlns:c16="http://schemas.microsoft.com/office/drawing/2014/chart" uri="{C3380CC4-5D6E-409C-BE32-E72D297353CC}">
              <c16:uniqueId val="{00000011-14A8-4143-887D-B34D943788DC}"/>
            </c:ext>
          </c:extLst>
        </c:ser>
        <c:ser>
          <c:idx val="3"/>
          <c:order val="3"/>
          <c:tx>
            <c:v>0,5</c:v>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30.946280851824326</c:v>
              </c:pt>
              <c:pt idx="1">
                <c:v>44.826371307471277</c:v>
              </c:pt>
              <c:pt idx="2">
                <c:v>57.095272038299356</c:v>
              </c:pt>
              <c:pt idx="3">
                <c:v>68.131593039433312</c:v>
              </c:pt>
              <c:pt idx="4">
                <c:v>78.190508498180975</c:v>
              </c:pt>
              <c:pt idx="5">
                <c:v>96.051940720026721</c:v>
              </c:pt>
              <c:pt idx="6">
                <c:v>104.08896260226572</c:v>
              </c:pt>
              <c:pt idx="7">
                <c:v>111.64283815237184</c:v>
              </c:pt>
              <c:pt idx="8">
                <c:v>118.77634465220854</c:v>
              </c:pt>
              <c:pt idx="9">
                <c:v>125.54032137234623</c:v>
              </c:pt>
            </c:numLit>
          </c:val>
          <c:extLst>
            <c:ext xmlns:c16="http://schemas.microsoft.com/office/drawing/2014/chart" uri="{C3380CC4-5D6E-409C-BE32-E72D297353CC}">
              <c16:uniqueId val="{00000012-14A8-4143-887D-B34D943788DC}"/>
            </c:ext>
          </c:extLst>
        </c:ser>
        <c:ser>
          <c:idx val="4"/>
          <c:order val="4"/>
          <c:tx>
            <c:v>0,6</c:v>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25.185429625164261</c:v>
              </c:pt>
              <c:pt idx="1">
                <c:v>37.048635536844927</c:v>
              </c:pt>
              <c:pt idx="2">
                <c:v>47.688441167682356</c:v>
              </c:pt>
              <c:pt idx="3">
                <c:v>57.364037497261165</c:v>
              </c:pt>
              <c:pt idx="4">
                <c:v>66.257550040403544</c:v>
              </c:pt>
              <c:pt idx="5">
                <c:v>82.19891101375373</c:v>
              </c:pt>
              <c:pt idx="6">
                <c:v>89.425633293498663</c:v>
              </c:pt>
              <c:pt idx="7">
                <c:v>96.244374786551418</c:v>
              </c:pt>
              <c:pt idx="8">
                <c:v>102.70514099926072</c:v>
              </c:pt>
              <c:pt idx="9">
                <c:v>108.84893242341519</c:v>
              </c:pt>
            </c:numLit>
          </c:val>
          <c:extLst>
            <c:ext xmlns:c16="http://schemas.microsoft.com/office/drawing/2014/chart" uri="{C3380CC4-5D6E-409C-BE32-E72D297353CC}">
              <c16:uniqueId val="{00000013-14A8-4143-887D-B34D943788DC}"/>
            </c:ext>
          </c:extLst>
        </c:ser>
        <c:ser>
          <c:idx val="5"/>
          <c:order val="5"/>
          <c:tx>
            <c:v>0,7</c:v>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21.151082671743438</c:v>
              </c:pt>
              <c:pt idx="1">
                <c:v>31.51907947481277</c:v>
              </c:pt>
              <c:pt idx="2">
                <c:v>40.925118076579395</c:v>
              </c:pt>
              <c:pt idx="3">
                <c:v>49.554760049062338</c:v>
              </c:pt>
              <c:pt idx="4">
                <c:v>57.54285087156245</c:v>
              </c:pt>
              <c:pt idx="5">
                <c:v>71.976639154531824</c:v>
              </c:pt>
              <c:pt idx="6">
                <c:v>78.56237584281314</c:v>
              </c:pt>
              <c:pt idx="7">
                <c:v>84.797655857852931</c:v>
              </c:pt>
              <c:pt idx="8">
                <c:v>90.723130018064182</c:v>
              </c:pt>
              <c:pt idx="9">
                <c:v>96.372497278194714</c:v>
              </c:pt>
            </c:numLit>
          </c:val>
          <c:extLst>
            <c:ext xmlns:c16="http://schemas.microsoft.com/office/drawing/2014/chart" uri="{C3380CC4-5D6E-409C-BE32-E72D297353CC}">
              <c16:uniqueId val="{00000014-14A8-4143-887D-B34D943788DC}"/>
            </c:ext>
          </c:extLst>
        </c:ser>
        <c:ser>
          <c:idx val="6"/>
          <c:order val="6"/>
          <c:tx>
            <c:v>0,8</c:v>
          </c:tx>
          <c:spPr>
            <a:gradFill rotWithShape="1">
              <a:gsLst>
                <a:gs pos="0">
                  <a:schemeClr val="accent1">
                    <a:lumMod val="60000"/>
                    <a:shade val="51000"/>
                    <a:satMod val="130000"/>
                  </a:schemeClr>
                </a:gs>
                <a:gs pos="80000">
                  <a:schemeClr val="accent1">
                    <a:lumMod val="60000"/>
                    <a:shade val="93000"/>
                    <a:satMod val="130000"/>
                  </a:schemeClr>
                </a:gs>
                <a:gs pos="100000">
                  <a:schemeClr val="accent1">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18.164452237556134</c:v>
              </c:pt>
              <c:pt idx="1">
                <c:v>27.376850699362706</c:v>
              </c:pt>
              <c:pt idx="2">
                <c:v>35.812381982388672</c:v>
              </c:pt>
              <c:pt idx="3">
                <c:v>43.608603313396486</c:v>
              </c:pt>
              <c:pt idx="4">
                <c:v>50.868283370259235</c:v>
              </c:pt>
              <c:pt idx="5">
                <c:v>64.07705990342879</c:v>
              </c:pt>
              <c:pt idx="6">
                <c:v>70.138082555722121</c:v>
              </c:pt>
              <c:pt idx="7">
                <c:v>75.894074880816561</c:v>
              </c:pt>
              <c:pt idx="8">
                <c:v>81.378617580972161</c:v>
              </c:pt>
              <c:pt idx="9">
                <c:v>86.619823798514119</c:v>
              </c:pt>
            </c:numLit>
          </c:val>
          <c:extLst>
            <c:ext xmlns:c16="http://schemas.microsoft.com/office/drawing/2014/chart" uri="{C3380CC4-5D6E-409C-BE32-E72D297353CC}">
              <c16:uniqueId val="{00000015-14A8-4143-887D-B34D943788DC}"/>
            </c:ext>
          </c:extLst>
        </c:ser>
        <c:ser>
          <c:idx val="7"/>
          <c:order val="7"/>
          <c:tx>
            <c:v>0,9</c:v>
          </c:tx>
          <c:spPr>
            <a:gradFill rotWithShape="1">
              <a:gsLst>
                <a:gs pos="0">
                  <a:schemeClr val="accent2">
                    <a:lumMod val="60000"/>
                    <a:shade val="51000"/>
                    <a:satMod val="130000"/>
                  </a:schemeClr>
                </a:gs>
                <a:gs pos="80000">
                  <a:schemeClr val="accent2">
                    <a:lumMod val="60000"/>
                    <a:shade val="93000"/>
                    <a:satMod val="130000"/>
                  </a:schemeClr>
                </a:gs>
                <a:gs pos="100000">
                  <a:schemeClr val="accent2">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15.862658516975898</c:v>
              </c:pt>
              <c:pt idx="1">
                <c:v>24.153880003610254</c:v>
              </c:pt>
              <c:pt idx="2">
                <c:v>31.804271432902283</c:v>
              </c:pt>
              <c:pt idx="3">
                <c:v>38.918700533757772</c:v>
              </c:pt>
              <c:pt idx="4">
                <c:v>45.577355208061249</c:v>
              </c:pt>
              <c:pt idx="5">
                <c:v>57.765960473017515</c:v>
              </c:pt>
              <c:pt idx="6">
                <c:v>63.386903549307021</c:v>
              </c:pt>
              <c:pt idx="7">
                <c:v>68.739524432050018</c:v>
              </c:pt>
              <c:pt idx="8">
                <c:v>73.85193207696534</c:v>
              </c:pt>
              <c:pt idx="9">
                <c:v>78.747868046185829</c:v>
              </c:pt>
            </c:numLit>
          </c:val>
          <c:extLst>
            <c:ext xmlns:c16="http://schemas.microsoft.com/office/drawing/2014/chart" uri="{C3380CC4-5D6E-409C-BE32-E72D297353CC}">
              <c16:uniqueId val="{00000016-14A8-4143-887D-B34D943788DC}"/>
            </c:ext>
          </c:extLst>
        </c:ser>
        <c:ser>
          <c:idx val="8"/>
          <c:order val="8"/>
          <c:tx>
            <c:v>1</c:v>
          </c:tx>
          <c:spPr>
            <a:gradFill rotWithShape="1">
              <a:gsLst>
                <a:gs pos="0">
                  <a:schemeClr val="accent3">
                    <a:lumMod val="60000"/>
                    <a:shade val="51000"/>
                    <a:satMod val="130000"/>
                  </a:schemeClr>
                </a:gs>
                <a:gs pos="80000">
                  <a:schemeClr val="accent3">
                    <a:lumMod val="60000"/>
                    <a:shade val="93000"/>
                    <a:satMod val="130000"/>
                  </a:schemeClr>
                </a:gs>
                <a:gs pos="100000">
                  <a:schemeClr val="accent3">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cat>
            <c:numLit>
              <c:formatCode>General</c:formatCode>
              <c:ptCount val="10"/>
              <c:pt idx="0">
                <c:v>0</c:v>
              </c:pt>
              <c:pt idx="1">
                <c:v>0.1</c:v>
              </c:pt>
              <c:pt idx="2">
                <c:v>0.2</c:v>
              </c:pt>
              <c:pt idx="3">
                <c:v>0.3</c:v>
              </c:pt>
              <c:pt idx="4">
                <c:v>0.4</c:v>
              </c:pt>
              <c:pt idx="5">
                <c:v>0.6</c:v>
              </c:pt>
              <c:pt idx="6">
                <c:v>0.7</c:v>
              </c:pt>
              <c:pt idx="7">
                <c:v>0.8</c:v>
              </c:pt>
              <c:pt idx="8">
                <c:v>0.9</c:v>
              </c:pt>
              <c:pt idx="9">
                <c:v>1</c:v>
              </c:pt>
            </c:numLit>
          </c:cat>
          <c:val>
            <c:numLit>
              <c:formatCode>General</c:formatCode>
              <c:ptCount val="10"/>
              <c:pt idx="0">
                <c:v>14.033582715891555</c:v>
              </c:pt>
              <c:pt idx="1">
                <c:v>21.572645485879207</c:v>
              </c:pt>
              <c:pt idx="2">
                <c:v>28.573884163341063</c:v>
              </c:pt>
              <c:pt idx="3">
                <c:v>35.119111330026783</c:v>
              </c:pt>
              <c:pt idx="4">
                <c:v>41.272134959213815</c:v>
              </c:pt>
              <c:pt idx="5">
                <c:v>52.595172316298999</c:v>
              </c:pt>
              <c:pt idx="6">
                <c:v>57.840230154676817</c:v>
              </c:pt>
              <c:pt idx="7">
                <c:v>62.847164715225688</c:v>
              </c:pt>
              <c:pt idx="8">
                <c:v>67.639769231308776</c:v>
              </c:pt>
              <c:pt idx="9">
                <c:v>72.238301714369868</c:v>
              </c:pt>
            </c:numLit>
          </c:val>
          <c:extLst>
            <c:ext xmlns:c16="http://schemas.microsoft.com/office/drawing/2014/chart" uri="{C3380CC4-5D6E-409C-BE32-E72D297353CC}">
              <c16:uniqueId val="{00000017-14A8-4143-887D-B34D943788DC}"/>
            </c:ext>
          </c:extLst>
        </c:ser>
        <c:bandFmts>
          <c:bandFmt>
            <c:idx val="0"/>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2"/>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3"/>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4"/>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5"/>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6"/>
            <c:spPr>
              <a:gradFill rotWithShape="1">
                <a:gsLst>
                  <a:gs pos="0">
                    <a:schemeClr val="accent1">
                      <a:lumMod val="60000"/>
                      <a:shade val="51000"/>
                      <a:satMod val="130000"/>
                    </a:schemeClr>
                  </a:gs>
                  <a:gs pos="80000">
                    <a:schemeClr val="accent1">
                      <a:lumMod val="60000"/>
                      <a:shade val="93000"/>
                      <a:satMod val="130000"/>
                    </a:schemeClr>
                  </a:gs>
                  <a:gs pos="100000">
                    <a:schemeClr val="accent1">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7"/>
            <c:spPr>
              <a:gradFill rotWithShape="1">
                <a:gsLst>
                  <a:gs pos="0">
                    <a:schemeClr val="accent2">
                      <a:lumMod val="60000"/>
                      <a:shade val="51000"/>
                      <a:satMod val="130000"/>
                    </a:schemeClr>
                  </a:gs>
                  <a:gs pos="80000">
                    <a:schemeClr val="accent2">
                      <a:lumMod val="60000"/>
                      <a:shade val="93000"/>
                      <a:satMod val="130000"/>
                    </a:schemeClr>
                  </a:gs>
                  <a:gs pos="100000">
                    <a:schemeClr val="accent2">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8"/>
            <c:spPr>
              <a:gradFill rotWithShape="1">
                <a:gsLst>
                  <a:gs pos="0">
                    <a:schemeClr val="accent3">
                      <a:lumMod val="60000"/>
                      <a:shade val="51000"/>
                      <a:satMod val="130000"/>
                    </a:schemeClr>
                  </a:gs>
                  <a:gs pos="80000">
                    <a:schemeClr val="accent3">
                      <a:lumMod val="60000"/>
                      <a:shade val="93000"/>
                      <a:satMod val="130000"/>
                    </a:schemeClr>
                  </a:gs>
                  <a:gs pos="100000">
                    <a:schemeClr val="accent3">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9"/>
            <c:spPr>
              <a:gradFill rotWithShape="1">
                <a:gsLst>
                  <a:gs pos="0">
                    <a:schemeClr val="accent4">
                      <a:lumMod val="60000"/>
                      <a:shade val="51000"/>
                      <a:satMod val="130000"/>
                    </a:schemeClr>
                  </a:gs>
                  <a:gs pos="80000">
                    <a:schemeClr val="accent4">
                      <a:lumMod val="60000"/>
                      <a:shade val="93000"/>
                      <a:satMod val="130000"/>
                    </a:schemeClr>
                  </a:gs>
                  <a:gs pos="100000">
                    <a:schemeClr val="accent4">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0"/>
            <c:spPr>
              <a:gradFill rotWithShape="1">
                <a:gsLst>
                  <a:gs pos="0">
                    <a:schemeClr val="accent5">
                      <a:lumMod val="60000"/>
                      <a:shade val="51000"/>
                      <a:satMod val="130000"/>
                    </a:schemeClr>
                  </a:gs>
                  <a:gs pos="80000">
                    <a:schemeClr val="accent5">
                      <a:lumMod val="60000"/>
                      <a:shade val="93000"/>
                      <a:satMod val="130000"/>
                    </a:schemeClr>
                  </a:gs>
                  <a:gs pos="100000">
                    <a:schemeClr val="accent5">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1"/>
            <c:spPr>
              <a:gradFill rotWithShape="1">
                <a:gsLst>
                  <a:gs pos="0">
                    <a:schemeClr val="accent6">
                      <a:lumMod val="60000"/>
                      <a:shade val="51000"/>
                      <a:satMod val="130000"/>
                    </a:schemeClr>
                  </a:gs>
                  <a:gs pos="80000">
                    <a:schemeClr val="accent6">
                      <a:lumMod val="60000"/>
                      <a:shade val="93000"/>
                      <a:satMod val="130000"/>
                    </a:schemeClr>
                  </a:gs>
                  <a:gs pos="100000">
                    <a:schemeClr val="accent6">
                      <a:lumMod val="6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2"/>
            <c:spPr>
              <a:gradFill rotWithShape="1">
                <a:gsLst>
                  <a:gs pos="0">
                    <a:schemeClr val="accent1">
                      <a:lumMod val="80000"/>
                      <a:lumOff val="20000"/>
                      <a:shade val="51000"/>
                      <a:satMod val="130000"/>
                    </a:schemeClr>
                  </a:gs>
                  <a:gs pos="80000">
                    <a:schemeClr val="accent1">
                      <a:lumMod val="80000"/>
                      <a:lumOff val="20000"/>
                      <a:shade val="93000"/>
                      <a:satMod val="130000"/>
                    </a:schemeClr>
                  </a:gs>
                  <a:gs pos="100000">
                    <a:schemeClr val="accent1">
                      <a:lumMod val="80000"/>
                      <a:lumOff val="2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3"/>
            <c:spPr>
              <a:gradFill rotWithShape="1">
                <a:gsLst>
                  <a:gs pos="0">
                    <a:schemeClr val="accent2">
                      <a:lumMod val="80000"/>
                      <a:lumOff val="20000"/>
                      <a:shade val="51000"/>
                      <a:satMod val="130000"/>
                    </a:schemeClr>
                  </a:gs>
                  <a:gs pos="80000">
                    <a:schemeClr val="accent2">
                      <a:lumMod val="80000"/>
                      <a:lumOff val="20000"/>
                      <a:shade val="93000"/>
                      <a:satMod val="130000"/>
                    </a:schemeClr>
                  </a:gs>
                  <a:gs pos="100000">
                    <a:schemeClr val="accent2">
                      <a:lumMod val="80000"/>
                      <a:lumOff val="2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
            <c:idx val="14"/>
            <c:spPr>
              <a:gradFill rotWithShape="1">
                <a:gsLst>
                  <a:gs pos="0">
                    <a:schemeClr val="accent3">
                      <a:lumMod val="80000"/>
                      <a:lumOff val="20000"/>
                      <a:shade val="51000"/>
                      <a:satMod val="130000"/>
                    </a:schemeClr>
                  </a:gs>
                  <a:gs pos="80000">
                    <a:schemeClr val="accent3">
                      <a:lumMod val="80000"/>
                      <a:lumOff val="20000"/>
                      <a:shade val="93000"/>
                      <a:satMod val="130000"/>
                    </a:schemeClr>
                  </a:gs>
                  <a:gs pos="100000">
                    <a:schemeClr val="accent3">
                      <a:lumMod val="80000"/>
                      <a:lumOff val="20000"/>
                      <a:shade val="94000"/>
                      <a:satMod val="135000"/>
                    </a:schemeClr>
                  </a:gs>
                </a:gsLst>
                <a:lin ang="16200000" scaled="0"/>
              </a:gradFill>
              <a:ln/>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c:spPr>
          </c:bandFmt>
        </c:bandFmts>
        <c:axId val="537327552"/>
        <c:axId val="537328864"/>
        <c:axId val="535146464"/>
      </c:surface3DChart>
      <c:catAx>
        <c:axId val="537327552"/>
        <c:scaling>
          <c:orientation val="minMax"/>
        </c:scaling>
        <c:delete val="0"/>
        <c:axPos val="b"/>
        <c:title>
          <c:tx>
            <c:rich>
              <a:bodyPr rot="0" spcFirstLastPara="1" vertOverflow="ellipsis" vert="horz" wrap="square" anchor="ctr" anchorCtr="1"/>
              <a:lstStyle/>
              <a:p>
                <a:pPr>
                  <a:defRPr sz="700" b="1" i="0" u="none" strike="noStrike" kern="1200" cap="all" baseline="0">
                    <a:solidFill>
                      <a:schemeClr val="lt1">
                        <a:lumMod val="85000"/>
                      </a:schemeClr>
                    </a:solidFill>
                    <a:latin typeface="+mn-lt"/>
                    <a:ea typeface="+mn-ea"/>
                    <a:cs typeface="+mn-cs"/>
                  </a:defRPr>
                </a:pPr>
                <a:r>
                  <a:rPr lang="en-GB"/>
                  <a:t>Alpha</a:t>
                </a:r>
              </a:p>
            </c:rich>
          </c:tx>
          <c:layout/>
          <c:overlay val="0"/>
          <c:spPr>
            <a:noFill/>
            <a:ln>
              <a:noFill/>
            </a:ln>
            <a:effectLst/>
          </c:spPr>
        </c:title>
        <c:numFmt formatCode="General" sourceLinked="1"/>
        <c:majorTickMark val="none"/>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37328864"/>
        <c:crosses val="autoZero"/>
        <c:auto val="1"/>
        <c:lblAlgn val="ctr"/>
        <c:lblOffset val="100"/>
        <c:noMultiLvlLbl val="0"/>
      </c:catAx>
      <c:valAx>
        <c:axId val="537328864"/>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700" b="1" i="0" u="none" strike="noStrike" kern="1200" cap="all" baseline="0">
                    <a:solidFill>
                      <a:schemeClr val="lt1">
                        <a:lumMod val="85000"/>
                      </a:schemeClr>
                    </a:solidFill>
                    <a:latin typeface="+mn-lt"/>
                    <a:ea typeface="+mn-ea"/>
                    <a:cs typeface="+mn-cs"/>
                  </a:defRPr>
                </a:pPr>
                <a:r>
                  <a:rPr lang="en-GB"/>
                  <a:t>Temperature[C]</a:t>
                </a:r>
              </a:p>
            </c:rich>
          </c:tx>
          <c:layout/>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37327552"/>
        <c:crosses val="autoZero"/>
        <c:crossBetween val="midCat"/>
      </c:valAx>
      <c:serAx>
        <c:axId val="535146464"/>
        <c:scaling>
          <c:orientation val="maxMin"/>
        </c:scaling>
        <c:delete val="0"/>
        <c:axPos val="b"/>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537328864"/>
        <c:crosses val="autoZero"/>
      </c:serAx>
      <c:spPr>
        <a:noFill/>
        <a:ln>
          <a:noFill/>
        </a:ln>
        <a:effectLst/>
      </c:spPr>
    </c:plotArea>
    <c:legend>
      <c:legendPos val="b"/>
      <c:layout/>
      <c:overlay val="0"/>
      <c:spPr>
        <a:noFill/>
        <a:ln>
          <a:noFill/>
        </a:ln>
        <a:effectLst/>
      </c:spPr>
      <c:txPr>
        <a:bodyPr rot="0" spcFirstLastPara="1" vertOverflow="ellipsis" vert="horz" wrap="square" anchor="ctr" anchorCtr="1"/>
        <a:lstStyle/>
        <a:p>
          <a:pPr rtl="0">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GB"/>
              <a:t>Effective emmitance vs. number f single aluminized layers</a:t>
            </a:r>
          </a:p>
        </c:rich>
      </c:tx>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scatterChart>
        <c:scatterStyle val="lineMarker"/>
        <c:varyColors val="0"/>
        <c:ser>
          <c:idx val="0"/>
          <c:order val="0"/>
          <c:tx>
            <c:v>Effective emmitance</c:v>
          </c:tx>
          <c:spPr>
            <a:ln w="9525" cap="rnd">
              <a:solidFill>
                <a:schemeClr val="accent1"/>
              </a:solidFill>
              <a:round/>
            </a:ln>
            <a:effectLst>
              <a:outerShdw blurRad="40000" dist="23000" dir="5400000" rotWithShape="0">
                <a:srgbClr val="000000">
                  <a:alpha val="35000"/>
                </a:srgbClr>
              </a:outerShdw>
            </a:effectLst>
          </c:spPr>
          <c:marker>
            <c:symbol val="none"/>
          </c:marker>
          <c:xVal>
            <c:numLit>
              <c:formatCode>General</c:formatCode>
              <c:ptCount val="50"/>
              <c:pt idx="0">
                <c:v>2</c:v>
              </c:pt>
              <c:pt idx="1">
                <c:v>4</c:v>
              </c:pt>
              <c:pt idx="2">
                <c:v>6</c:v>
              </c:pt>
              <c:pt idx="3">
                <c:v>8</c:v>
              </c:pt>
              <c:pt idx="4">
                <c:v>10</c:v>
              </c:pt>
              <c:pt idx="5">
                <c:v>12</c:v>
              </c:pt>
              <c:pt idx="6">
                <c:v>14</c:v>
              </c:pt>
              <c:pt idx="7">
                <c:v>16</c:v>
              </c:pt>
              <c:pt idx="8">
                <c:v>18</c:v>
              </c:pt>
              <c:pt idx="9">
                <c:v>20</c:v>
              </c:pt>
              <c:pt idx="10">
                <c:v>22</c:v>
              </c:pt>
              <c:pt idx="11">
                <c:v>24</c:v>
              </c:pt>
              <c:pt idx="12">
                <c:v>26</c:v>
              </c:pt>
              <c:pt idx="13">
                <c:v>28</c:v>
              </c:pt>
              <c:pt idx="14">
                <c:v>30</c:v>
              </c:pt>
              <c:pt idx="15">
                <c:v>32</c:v>
              </c:pt>
              <c:pt idx="16">
                <c:v>34</c:v>
              </c:pt>
              <c:pt idx="17">
                <c:v>36</c:v>
              </c:pt>
              <c:pt idx="18">
                <c:v>38</c:v>
              </c:pt>
              <c:pt idx="19">
                <c:v>40</c:v>
              </c:pt>
              <c:pt idx="20">
                <c:v>42</c:v>
              </c:pt>
              <c:pt idx="21">
                <c:v>44</c:v>
              </c:pt>
              <c:pt idx="22">
                <c:v>46</c:v>
              </c:pt>
              <c:pt idx="23">
                <c:v>48</c:v>
              </c:pt>
              <c:pt idx="24">
                <c:v>50</c:v>
              </c:pt>
              <c:pt idx="25">
                <c:v>52</c:v>
              </c:pt>
              <c:pt idx="26">
                <c:v>54</c:v>
              </c:pt>
              <c:pt idx="27">
                <c:v>56</c:v>
              </c:pt>
              <c:pt idx="28">
                <c:v>58</c:v>
              </c:pt>
              <c:pt idx="29">
                <c:v>60</c:v>
              </c:pt>
              <c:pt idx="30">
                <c:v>62</c:v>
              </c:pt>
              <c:pt idx="31">
                <c:v>64</c:v>
              </c:pt>
              <c:pt idx="32">
                <c:v>66</c:v>
              </c:pt>
              <c:pt idx="33">
                <c:v>68</c:v>
              </c:pt>
              <c:pt idx="34">
                <c:v>70</c:v>
              </c:pt>
              <c:pt idx="35">
                <c:v>72</c:v>
              </c:pt>
              <c:pt idx="36">
                <c:v>74</c:v>
              </c:pt>
              <c:pt idx="37">
                <c:v>76</c:v>
              </c:pt>
              <c:pt idx="38">
                <c:v>78</c:v>
              </c:pt>
              <c:pt idx="39">
                <c:v>80</c:v>
              </c:pt>
              <c:pt idx="40">
                <c:v>82</c:v>
              </c:pt>
              <c:pt idx="41">
                <c:v>84</c:v>
              </c:pt>
              <c:pt idx="42">
                <c:v>86</c:v>
              </c:pt>
              <c:pt idx="43">
                <c:v>88</c:v>
              </c:pt>
              <c:pt idx="44">
                <c:v>90</c:v>
              </c:pt>
              <c:pt idx="45">
                <c:v>92</c:v>
              </c:pt>
              <c:pt idx="46">
                <c:v>94</c:v>
              </c:pt>
              <c:pt idx="47">
                <c:v>96</c:v>
              </c:pt>
              <c:pt idx="48">
                <c:v>98</c:v>
              </c:pt>
              <c:pt idx="49">
                <c:v>100</c:v>
              </c:pt>
            </c:numLit>
          </c:xVal>
          <c:yVal>
            <c:numLit>
              <c:formatCode>General</c:formatCode>
              <c:ptCount val="50"/>
              <c:pt idx="0">
                <c:v>2.5641025641025644E-2</c:v>
              </c:pt>
              <c:pt idx="1">
                <c:v>8.5470085470085479E-3</c:v>
              </c:pt>
              <c:pt idx="2">
                <c:v>5.1282051282051282E-3</c:v>
              </c:pt>
              <c:pt idx="3">
                <c:v>3.663003663003663E-3</c:v>
              </c:pt>
              <c:pt idx="4">
                <c:v>2.8490028490028491E-3</c:v>
              </c:pt>
              <c:pt idx="5">
                <c:v>2.331002331002331E-3</c:v>
              </c:pt>
              <c:pt idx="6">
                <c:v>1.9723865877712033E-3</c:v>
              </c:pt>
              <c:pt idx="7">
                <c:v>1.7094017094017094E-3</c:v>
              </c:pt>
              <c:pt idx="8">
                <c:v>1.5082956259426848E-3</c:v>
              </c:pt>
              <c:pt idx="9">
                <c:v>1.3495276653171392E-3</c:v>
              </c:pt>
              <c:pt idx="10">
                <c:v>1.2210012210012212E-3</c:v>
              </c:pt>
              <c:pt idx="11">
                <c:v>1.1148272017837235E-3</c:v>
              </c:pt>
              <c:pt idx="12">
                <c:v>1.0256410256410256E-3</c:v>
              </c:pt>
              <c:pt idx="13">
                <c:v>9.4966761633428305E-4</c:v>
              </c:pt>
              <c:pt idx="14">
                <c:v>8.8417329796640148E-4</c:v>
              </c:pt>
              <c:pt idx="15">
                <c:v>8.2712985938792401E-4</c:v>
              </c:pt>
              <c:pt idx="16">
                <c:v>7.7700077700077711E-4</c:v>
              </c:pt>
              <c:pt idx="17">
                <c:v>7.326007326007326E-4</c:v>
              </c:pt>
              <c:pt idx="18">
                <c:v>6.9300069300069311E-4</c:v>
              </c:pt>
              <c:pt idx="19">
                <c:v>6.5746219592373442E-4</c:v>
              </c:pt>
              <c:pt idx="20">
                <c:v>6.2539086929330832E-4</c:v>
              </c:pt>
              <c:pt idx="21">
                <c:v>5.9630292188431731E-4</c:v>
              </c:pt>
              <c:pt idx="22">
                <c:v>5.6980056980056987E-4</c:v>
              </c:pt>
              <c:pt idx="23">
                <c:v>5.4555373704309881E-4</c:v>
              </c:pt>
              <c:pt idx="24">
                <c:v>5.2328623757195189E-4</c:v>
              </c:pt>
              <c:pt idx="25">
                <c:v>5.0276520864756165E-4</c:v>
              </c:pt>
              <c:pt idx="26">
                <c:v>4.8379293662312534E-4</c:v>
              </c:pt>
              <c:pt idx="27">
                <c:v>4.662004662004662E-4</c:v>
              </c:pt>
              <c:pt idx="28">
                <c:v>4.4984255510571307E-4</c:v>
              </c:pt>
              <c:pt idx="29">
                <c:v>4.3459365493263801E-4</c:v>
              </c:pt>
              <c:pt idx="30">
                <c:v>4.2034468263976461E-4</c:v>
              </c:pt>
              <c:pt idx="31">
                <c:v>4.0700040700040704E-4</c:v>
              </c:pt>
              <c:pt idx="32">
                <c:v>3.9447731755424067E-4</c:v>
              </c:pt>
              <c:pt idx="33">
                <c:v>3.8270187523918868E-4</c:v>
              </c:pt>
              <c:pt idx="34">
                <c:v>3.7160906726124124E-4</c:v>
              </c:pt>
              <c:pt idx="35">
                <c:v>3.6114120621162882E-4</c:v>
              </c:pt>
              <c:pt idx="36">
                <c:v>3.5124692658939239E-4</c:v>
              </c:pt>
              <c:pt idx="37">
                <c:v>3.4188034188034188E-4</c:v>
              </c:pt>
              <c:pt idx="38">
                <c:v>3.33000333000333E-4</c:v>
              </c:pt>
              <c:pt idx="39">
                <c:v>3.2456994482310943E-4</c:v>
              </c:pt>
              <c:pt idx="40">
                <c:v>3.1655587211142772E-4</c:v>
              </c:pt>
              <c:pt idx="41">
                <c:v>3.0892801977139327E-4</c:v>
              </c:pt>
              <c:pt idx="42">
                <c:v>3.0165912518853697E-4</c:v>
              </c:pt>
              <c:pt idx="43">
                <c:v>2.9472443265546712E-4</c:v>
              </c:pt>
              <c:pt idx="44">
                <c:v>2.8810141169691736E-4</c:v>
              </c:pt>
              <c:pt idx="45">
                <c:v>2.8176951253874335E-4</c:v>
              </c:pt>
              <c:pt idx="46">
                <c:v>2.7570995312930797E-4</c:v>
              </c:pt>
              <c:pt idx="47">
                <c:v>2.6990553306342779E-4</c:v>
              </c:pt>
              <c:pt idx="48">
                <c:v>2.6434047052603752E-4</c:v>
              </c:pt>
              <c:pt idx="49">
                <c:v>2.5900025900025902E-4</c:v>
              </c:pt>
            </c:numLit>
          </c:yVal>
          <c:smooth val="0"/>
          <c:extLst>
            <c:ext xmlns:c16="http://schemas.microsoft.com/office/drawing/2014/chart" uri="{C3380CC4-5D6E-409C-BE32-E72D297353CC}">
              <c16:uniqueId val="{00000000-C735-4CCA-8215-1456D4B14EF4}"/>
            </c:ext>
          </c:extLst>
        </c:ser>
        <c:dLbls>
          <c:showLegendKey val="0"/>
          <c:showVal val="0"/>
          <c:showCatName val="0"/>
          <c:showSerName val="0"/>
          <c:showPercent val="0"/>
          <c:showBubbleSize val="0"/>
        </c:dLbls>
        <c:axId val="747865216"/>
        <c:axId val="747868496"/>
      </c:scatterChart>
      <c:valAx>
        <c:axId val="747865216"/>
        <c:scaling>
          <c:orientation val="minMax"/>
        </c:scaling>
        <c:delete val="0"/>
        <c:axPos val="b"/>
        <c:majorGridlines>
          <c:spPr>
            <a:ln w="9525" cap="flat" cmpd="sng" algn="ctr">
              <a:solidFill>
                <a:schemeClr val="lt1">
                  <a:lumMod val="95000"/>
                  <a:alpha val="10000"/>
                </a:schemeClr>
              </a:solidFill>
              <a:round/>
            </a:ln>
            <a:effectLst/>
          </c:spPr>
        </c:majorGridlines>
        <c:title>
          <c:tx>
            <c:rich>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GB"/>
                  <a:t>Number of aluminized layers</a:t>
                </a:r>
              </a:p>
            </c:rich>
          </c:tx>
          <c:overlay val="0"/>
          <c:spPr>
            <a:noFill/>
            <a:ln>
              <a:noFill/>
            </a:ln>
            <a:effectLst/>
          </c:spPr>
          <c:txPr>
            <a:bodyPr rot="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747868496"/>
        <c:crosses val="autoZero"/>
        <c:crossBetween val="midCat"/>
      </c:valAx>
      <c:valAx>
        <c:axId val="747868496"/>
        <c:scaling>
          <c:orientation val="minMax"/>
        </c:scaling>
        <c:delete val="0"/>
        <c:axPos val="l"/>
        <c:majorGridlines>
          <c:spPr>
            <a:ln w="9525" cap="flat" cmpd="sng" algn="ctr">
              <a:solidFill>
                <a:schemeClr val="lt1">
                  <a:lumMod val="95000"/>
                  <a:alpha val="10000"/>
                </a:schemeClr>
              </a:solidFill>
              <a:round/>
            </a:ln>
            <a:effectLst/>
          </c:spPr>
        </c:majorGridlines>
        <c:title>
          <c:tx>
            <c:rich>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r>
                  <a:rPr lang="en-GB"/>
                  <a:t>Effective emittance</a:t>
                </a:r>
              </a:p>
            </c:rich>
          </c:tx>
          <c:overlay val="0"/>
          <c:spPr>
            <a:noFill/>
            <a:ln>
              <a:noFill/>
            </a:ln>
            <a:effectLst/>
          </c:spPr>
          <c:txPr>
            <a:bodyPr rot="-5400000" spcFirstLastPara="1" vertOverflow="ellipsis" vert="horz" wrap="square" anchor="ctr" anchorCtr="1"/>
            <a:lstStyle/>
            <a:p>
              <a:pPr>
                <a:defRPr sz="900" b="1" i="0" u="none" strike="noStrike" kern="1200" cap="all" baseline="0">
                  <a:solidFill>
                    <a:schemeClr val="lt1">
                      <a:lumMod val="7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lt1">
                <a:lumMod val="50000"/>
              </a:schemeClr>
            </a:solidFill>
          </a:ln>
          <a:effectLst/>
        </c:spPr>
        <c:txPr>
          <a:bodyPr rot="-6000000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crossAx val="747865216"/>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lt1">
                  <a:lumMod val="7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Trade results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radarChart>
        <c:radarStyle val="marker"/>
        <c:varyColors val="0"/>
        <c:ser>
          <c:idx val="0"/>
          <c:order val="0"/>
          <c:tx>
            <c:strRef>
              <c:f>Trade_off!$C$30</c:f>
              <c:strCache>
                <c:ptCount val="1"/>
                <c:pt idx="0">
                  <c:v>Option 1</c:v>
                </c:pt>
              </c:strCache>
            </c:strRef>
          </c:tx>
          <c:spPr>
            <a:ln w="28575" cap="rnd">
              <a:solidFill>
                <a:schemeClr val="accent1"/>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Trade_off!$C$32:$C$41</c15:sqref>
                  </c15:fullRef>
                </c:ext>
              </c:extLst>
              <c:f>Trade_off!$C$32:$C$35</c:f>
              <c:numCache>
                <c:formatCode>General</c:formatCode>
                <c:ptCount val="4"/>
                <c:pt idx="0">
                  <c:v>3</c:v>
                </c:pt>
                <c:pt idx="1">
                  <c:v>5</c:v>
                </c:pt>
                <c:pt idx="2">
                  <c:v>8</c:v>
                </c:pt>
                <c:pt idx="3">
                  <c:v>4</c:v>
                </c:pt>
              </c:numCache>
            </c:numRef>
          </c:val>
          <c:extLst>
            <c:ext xmlns:c16="http://schemas.microsoft.com/office/drawing/2014/chart" uri="{C3380CC4-5D6E-409C-BE32-E72D297353CC}">
              <c16:uniqueId val="{00000000-7D5C-44CA-8DF4-F565C4BCF604}"/>
            </c:ext>
          </c:extLst>
        </c:ser>
        <c:ser>
          <c:idx val="1"/>
          <c:order val="1"/>
          <c:tx>
            <c:strRef>
              <c:f>Trade_off!$D$30</c:f>
              <c:strCache>
                <c:ptCount val="1"/>
                <c:pt idx="0">
                  <c:v>Option 2</c:v>
                </c:pt>
              </c:strCache>
            </c:strRef>
          </c:tx>
          <c:spPr>
            <a:ln w="28575" cap="rnd">
              <a:solidFill>
                <a:schemeClr val="accent2"/>
              </a:solidFill>
              <a:round/>
            </a:ln>
            <a:effectLst/>
          </c:spPr>
          <c:marker>
            <c:symbol val="none"/>
          </c:marker>
          <c:cat>
            <c:strRef>
              <c:extLst>
                <c:ext xmlns:c15="http://schemas.microsoft.com/office/drawing/2012/chart" uri="{02D57815-91ED-43cb-92C2-25804820EDAC}">
                  <c15:fullRef>
                    <c15:sqref>Trade_off!$B$32:$B$41</c15:sqref>
                  </c15:fullRef>
                </c:ext>
              </c:extLst>
              <c:f>Trade_off!$B$32:$B$35</c:f>
              <c:strCache>
                <c:ptCount val="4"/>
                <c:pt idx="0">
                  <c:v>Mass</c:v>
                </c:pt>
                <c:pt idx="1">
                  <c:v>Cost</c:v>
                </c:pt>
                <c:pt idx="2">
                  <c:v>Power</c:v>
                </c:pt>
                <c:pt idx="3">
                  <c:v>Equilibrium temperature</c:v>
                </c:pt>
              </c:strCache>
            </c:strRef>
          </c:cat>
          <c:val>
            <c:numRef>
              <c:extLst>
                <c:ext xmlns:c15="http://schemas.microsoft.com/office/drawing/2012/chart" uri="{02D57815-91ED-43cb-92C2-25804820EDAC}">
                  <c15:fullRef>
                    <c15:sqref>Trade_off!$D$32:$D$41</c15:sqref>
                  </c15:fullRef>
                </c:ext>
              </c:extLst>
              <c:f>Trade_off!$D$32:$D$35</c:f>
              <c:numCache>
                <c:formatCode>General</c:formatCode>
                <c:ptCount val="4"/>
                <c:pt idx="0">
                  <c:v>3</c:v>
                </c:pt>
                <c:pt idx="1">
                  <c:v>7</c:v>
                </c:pt>
                <c:pt idx="2">
                  <c:v>5</c:v>
                </c:pt>
                <c:pt idx="3">
                  <c:v>3</c:v>
                </c:pt>
              </c:numCache>
            </c:numRef>
          </c:val>
          <c:extLst>
            <c:ext xmlns:c16="http://schemas.microsoft.com/office/drawing/2014/chart" uri="{C3380CC4-5D6E-409C-BE32-E72D297353CC}">
              <c16:uniqueId val="{00000001-7D5C-44CA-8DF4-F565C4BCF604}"/>
            </c:ext>
          </c:extLst>
        </c:ser>
        <c:ser>
          <c:idx val="2"/>
          <c:order val="2"/>
          <c:tx>
            <c:strRef>
              <c:f>Trade_off!$E$30</c:f>
              <c:strCache>
                <c:ptCount val="1"/>
                <c:pt idx="0">
                  <c:v>Option 3</c:v>
                </c:pt>
              </c:strCache>
            </c:strRef>
          </c:tx>
          <c:spPr>
            <a:ln w="28575" cap="rnd">
              <a:solidFill>
                <a:schemeClr val="accent3"/>
              </a:solidFill>
              <a:round/>
            </a:ln>
            <a:effectLst/>
          </c:spPr>
          <c:marker>
            <c:symbol val="none"/>
          </c:marker>
          <c:cat>
            <c:strLit>
              <c:ptCount val="4"/>
              <c:pt idx="0">
                <c:v>Mass</c:v>
              </c:pt>
              <c:pt idx="1">
                <c:v>Cost</c:v>
              </c:pt>
              <c:pt idx="2">
                <c:v>Power</c:v>
              </c:pt>
              <c:pt idx="3">
                <c:v>Equilibrium temperature</c:v>
              </c:pt>
              <c:pt idx="4">
                <c:v>E</c:v>
              </c:pt>
              <c:extLst>
                <c:ext xmlns:c15="http://schemas.microsoft.com/office/drawing/2012/chart" uri="{02D57815-91ED-43cb-92C2-25804820EDAC}">
                  <c15:autoCat val="1"/>
                </c:ext>
              </c:extLst>
            </c:strLit>
          </c:cat>
          <c:val>
            <c:numRef>
              <c:extLst>
                <c:ext xmlns:c15="http://schemas.microsoft.com/office/drawing/2012/chart" uri="{02D57815-91ED-43cb-92C2-25804820EDAC}">
                  <c15:fullRef>
                    <c15:sqref>Trade_off!$E$32:$E$35</c15:sqref>
                  </c15:fullRef>
                </c:ext>
              </c:extLst>
              <c:f>Trade_off!$E$32:$E$35</c:f>
              <c:numCache>
                <c:formatCode>General</c:formatCode>
                <c:ptCount val="4"/>
                <c:pt idx="0">
                  <c:v>3</c:v>
                </c:pt>
                <c:pt idx="1">
                  <c:v>4</c:v>
                </c:pt>
                <c:pt idx="2">
                  <c:v>2</c:v>
                </c:pt>
                <c:pt idx="3">
                  <c:v>1</c:v>
                </c:pt>
              </c:numCache>
            </c:numRef>
          </c:val>
          <c:extLst>
            <c:ext xmlns:c16="http://schemas.microsoft.com/office/drawing/2014/chart" uri="{C3380CC4-5D6E-409C-BE32-E72D297353CC}">
              <c16:uniqueId val="{00000002-2C4D-4595-9299-396955E1020C}"/>
            </c:ext>
          </c:extLst>
        </c:ser>
        <c:dLbls>
          <c:showLegendKey val="0"/>
          <c:showVal val="0"/>
          <c:showCatName val="0"/>
          <c:showSerName val="0"/>
          <c:showPercent val="0"/>
          <c:showBubbleSize val="0"/>
        </c:dLbls>
        <c:axId val="592043480"/>
        <c:axId val="592036264"/>
      </c:radarChart>
      <c:catAx>
        <c:axId val="592043480"/>
        <c:scaling>
          <c:orientation val="minMax"/>
        </c:scaling>
        <c:delete val="0"/>
        <c:axPos val="b"/>
        <c:numFmt formatCode="General" sourceLinked="1"/>
        <c:majorTickMark val="none"/>
        <c:minorTickMark val="none"/>
        <c:tickLblPos val="nextTo"/>
        <c:spPr>
          <a:noFill/>
          <a:ln w="25400" cap="flat" cmpd="sng" algn="ctr">
            <a:no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36264"/>
        <c:crosses val="autoZero"/>
        <c:auto val="1"/>
        <c:lblAlgn val="ctr"/>
        <c:lblOffset val="100"/>
        <c:noMultiLvlLbl val="0"/>
      </c:catAx>
      <c:valAx>
        <c:axId val="59203626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2043480"/>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2.xml><?xml version="1.0" encoding="utf-8"?>
<cs:chartStyle xmlns:cs="http://schemas.microsoft.com/office/drawing/2012/chartStyle" xmlns:a="http://schemas.openxmlformats.org/drawingml/2006/main" id="209">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lt1"/>
    </cs:fontRef>
  </cs:dataPoint>
  <cs:dataPoint3D>
    <cs:lnRef idx="0"/>
    <cs:fillRef idx="3">
      <cs:styleClr val="auto"/>
    </cs:fillRef>
    <cs:effectRef idx="3"/>
    <cs:fontRef idx="minor">
      <a:schemeClr val="lt1"/>
    </cs:fontRef>
  </cs:dataPoint3D>
  <cs:dataPointLine>
    <cs:lnRef idx="0">
      <cs:styleClr val="auto"/>
    </cs:lnRef>
    <cs:fillRef idx="3"/>
    <cs:effectRef idx="3"/>
    <cs:fontRef idx="minor">
      <a:schemeClr val="lt1"/>
    </cs:fontRef>
    <cs:spPr>
      <a:ln w="34925" cap="rnd">
        <a:solidFill>
          <a:schemeClr val="phClr"/>
        </a:solidFill>
        <a:round/>
      </a:ln>
    </cs:spPr>
  </cs:dataPointLine>
  <cs:dataPointMarker>
    <cs:lnRef idx="0">
      <cs:styleClr val="auto"/>
    </cs:lnRef>
    <cs:fillRef idx="3">
      <cs:styleClr val="auto"/>
    </cs:fillRef>
    <cs:effectRef idx="3"/>
    <cs:fontRef idx="minor">
      <a:schemeClr val="lt1"/>
    </cs:fontRef>
    <cs:spPr>
      <a:ln w="9525">
        <a:solidFill>
          <a:schemeClr val="phClr"/>
        </a:solidFill>
        <a:round/>
      </a:ln>
    </cs:spPr>
  </cs:dataPointMarker>
  <cs:dataPointMarkerLayout symbol="circle" size="6"/>
  <cs:dataPointWireframe>
    <cs:lnRef idx="0">
      <cs:styleClr val="auto"/>
    </cs:lnRef>
    <cs:fillRef idx="3"/>
    <cs:effectRef idx="3"/>
    <cs:fontRef idx="minor">
      <a:schemeClr val="lt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lt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lt1"/>
    </cs:fontRef>
    <cs:spPr>
      <a:ln w="9525">
        <a:solidFill>
          <a:schemeClr val="lt1">
            <a:lumMod val="95000"/>
            <a:alpha val="54000"/>
          </a:schemeClr>
        </a:solidFill>
        <a:prstDash val="dash"/>
      </a:ln>
    </cs:spPr>
  </cs:dropLine>
  <cs:errorBar>
    <cs:lnRef idx="0"/>
    <cs:fillRef idx="0"/>
    <cs:effectRef idx="0"/>
    <cs:fontRef idx="minor">
      <a:schemeClr val="lt1"/>
    </cs:fontRef>
    <cs:spPr>
      <a:ln w="9525" cap="flat" cmpd="sng" algn="ctr">
        <a:solidFill>
          <a:schemeClr val="lt1">
            <a:lumMod val="95000"/>
          </a:schemeClr>
        </a:solidFill>
        <a:round/>
      </a:ln>
    </cs:spPr>
  </cs:errorBar>
  <cs:floor>
    <cs:lnRef idx="0"/>
    <cs:fillRef idx="0"/>
    <cs:effectRef idx="0"/>
    <cs:fontRef idx="minor">
      <a:schemeClr val="lt1"/>
    </cs:fontRef>
  </cs:floor>
  <cs:gridlineMajor>
    <cs:lnRef idx="0"/>
    <cs:fillRef idx="0"/>
    <cs:effectRef idx="0"/>
    <cs:fontRef idx="minor">
      <a:schemeClr val="lt1"/>
    </cs:fontRef>
    <cs:spPr>
      <a:ln w="9525" cap="flat" cmpd="sng" algn="ctr">
        <a:solidFill>
          <a:schemeClr val="lt1">
            <a:lumMod val="95000"/>
            <a:alpha val="10000"/>
          </a:schemeClr>
        </a:solidFill>
        <a:round/>
      </a:ln>
    </cs:spPr>
  </cs:gridlineMajor>
  <cs:gridlineMinor>
    <cs:lnRef idx="0"/>
    <cs:fillRef idx="0"/>
    <cs:effectRef idx="0"/>
    <cs:fontRef idx="minor">
      <a:schemeClr val="lt1"/>
    </cs:fontRef>
    <cs:spPr>
      <a:ln>
        <a:solidFill>
          <a:schemeClr val="lt1">
            <a:lumMod val="95000"/>
            <a:alpha val="5000"/>
          </a:schemeClr>
        </a:solidFill>
      </a:ln>
    </cs:spPr>
  </cs:gridlineMinor>
  <cs:hiLoLine>
    <cs:lnRef idx="0"/>
    <cs:fillRef idx="0"/>
    <cs:effectRef idx="0"/>
    <cs:fontRef idx="minor">
      <a:schemeClr val="lt1"/>
    </cs:fontRef>
    <cs:spPr>
      <a:ln w="9525">
        <a:solidFill>
          <a:schemeClr val="lt1">
            <a:lumMod val="95000"/>
            <a:alpha val="54000"/>
          </a:schemeClr>
        </a:solidFill>
        <a:prstDash val="dash"/>
      </a:ln>
    </cs:spPr>
  </cs:hiLoLine>
  <cs:leaderLine>
    <cs:lnRef idx="0"/>
    <cs:fillRef idx="0"/>
    <cs:effectRef idx="0"/>
    <cs:fontRef idx="minor">
      <a:schemeClr val="lt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lt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lt1"/>
    </cs:fontRef>
  </cs:wall>
</cs:chartStyle>
</file>

<file path=xl/charts/style3.xml><?xml version="1.0" encoding="utf-8"?>
<cs:chartStyle xmlns:cs="http://schemas.microsoft.com/office/drawing/2012/chartStyle" xmlns:a="http://schemas.openxmlformats.org/drawingml/2006/main" id="248">
  <cs:axisTitle>
    <cs:lnRef idx="0"/>
    <cs:fillRef idx="0"/>
    <cs:effectRef idx="0"/>
    <cs:fontRef idx="minor">
      <a:schemeClr val="lt1">
        <a:lumMod val="75000"/>
      </a:schemeClr>
    </cs:fontRef>
    <cs:defRPr sz="900" b="1" kern="1200" cap="all"/>
  </cs:axisTitle>
  <cs:categoryAxis>
    <cs:lnRef idx="0"/>
    <cs:fillRef idx="0"/>
    <cs:effectRef idx="0"/>
    <cs:fontRef idx="minor">
      <a:schemeClr val="lt1">
        <a:lumMod val="75000"/>
      </a:schemeClr>
    </cs:fontRef>
    <cs:spPr>
      <a:ln w="9525" cap="flat" cmpd="sng" algn="ctr">
        <a:solidFill>
          <a:schemeClr val="lt1">
            <a:lumMod val="50000"/>
          </a:schemeClr>
        </a:solidFill>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7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7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7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75000"/>
      </a:schemeClr>
    </cs:fontRef>
    <cs:spPr>
      <a:ln w="9525" cap="flat" cmpd="sng" algn="ctr">
        <a:solidFill>
          <a:schemeClr val="lt1">
            <a:lumMod val="50000"/>
          </a:schemeClr>
        </a:solidFill>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lt1">
        <a:lumMod val="7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75000"/>
      </a:schemeClr>
    </cs:fontRef>
    <cs:spPr>
      <a:ln w="9525" cap="flat" cmpd="sng" algn="ctr">
        <a:solidFill>
          <a:schemeClr val="lt1">
            <a:lumMod val="50000"/>
          </a:schemeClr>
        </a:solidFill>
      </a:ln>
    </cs:spPr>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94C7FDD0-AAD2-419C-AFC9-BBBE6FC36DB3}" type="doc">
      <dgm:prSet loTypeId="urn:microsoft.com/office/officeart/2009/layout/CirclePictureHierarchy" loCatId="hierarchy" qsTypeId="urn:microsoft.com/office/officeart/2005/8/quickstyle/simple1" qsCatId="simple" csTypeId="urn:microsoft.com/office/officeart/2005/8/colors/accent1_2" csCatId="accent1" phldr="0"/>
      <dgm:spPr/>
      <dgm:t>
        <a:bodyPr/>
        <a:lstStyle/>
        <a:p>
          <a:endParaRPr lang="en-US"/>
        </a:p>
      </dgm:t>
    </dgm:pt>
    <dgm:pt modelId="{E9667564-14AD-45D3-ACD8-C1ABCCBCC63E}">
      <dgm:prSet phldrT="[Text]" phldr="1"/>
      <dgm:spPr/>
      <dgm:t>
        <a:bodyPr/>
        <a:lstStyle/>
        <a:p>
          <a:endParaRPr lang="en-US"/>
        </a:p>
      </dgm:t>
    </dgm:pt>
    <dgm:pt modelId="{90463D30-C616-4947-BC17-7590517A7167}" type="parTrans" cxnId="{D750873F-D599-49FF-92CD-DE1E3473E623}">
      <dgm:prSet/>
      <dgm:spPr/>
      <dgm:t>
        <a:bodyPr/>
        <a:lstStyle/>
        <a:p>
          <a:endParaRPr lang="en-US"/>
        </a:p>
      </dgm:t>
    </dgm:pt>
    <dgm:pt modelId="{99978BF7-BFAD-4259-8CD5-F930CF966C34}" type="sibTrans" cxnId="{D750873F-D599-49FF-92CD-DE1E3473E623}">
      <dgm:prSet/>
      <dgm:spPr/>
      <dgm:t>
        <a:bodyPr/>
        <a:lstStyle/>
        <a:p>
          <a:endParaRPr lang="en-US"/>
        </a:p>
      </dgm:t>
    </dgm:pt>
    <dgm:pt modelId="{6A07B9C6-4160-455E-8C74-72F18E901367}">
      <dgm:prSet phldrT="[Text]" phldr="1"/>
      <dgm:spPr/>
      <dgm:t>
        <a:bodyPr/>
        <a:lstStyle/>
        <a:p>
          <a:endParaRPr lang="en-US"/>
        </a:p>
      </dgm:t>
    </dgm:pt>
    <dgm:pt modelId="{D12E1C3C-E60F-4DB2-B574-8BF0636F23C6}" type="parTrans" cxnId="{BC852D4C-3A6E-455F-9FA5-08D3D8E73CAA}">
      <dgm:prSet/>
      <dgm:spPr/>
      <dgm:t>
        <a:bodyPr/>
        <a:lstStyle/>
        <a:p>
          <a:endParaRPr lang="en-US"/>
        </a:p>
      </dgm:t>
    </dgm:pt>
    <dgm:pt modelId="{4A84A777-7845-4F2B-80FF-4CA141BEC0D8}" type="sibTrans" cxnId="{BC852D4C-3A6E-455F-9FA5-08D3D8E73CAA}">
      <dgm:prSet/>
      <dgm:spPr/>
      <dgm:t>
        <a:bodyPr/>
        <a:lstStyle/>
        <a:p>
          <a:endParaRPr lang="en-US"/>
        </a:p>
      </dgm:t>
    </dgm:pt>
    <dgm:pt modelId="{664B6403-71A3-4A6B-B058-991FE51306E9}">
      <dgm:prSet phldrT="[Text]" phldr="1"/>
      <dgm:spPr/>
      <dgm:t>
        <a:bodyPr/>
        <a:lstStyle/>
        <a:p>
          <a:endParaRPr lang="en-US"/>
        </a:p>
      </dgm:t>
    </dgm:pt>
    <dgm:pt modelId="{E56C7C4E-AC5E-4B58-889C-C4F9F4F6EC69}" type="parTrans" cxnId="{1AA4B005-4E6D-42EE-ADB2-27DFCD8DE4FC}">
      <dgm:prSet/>
      <dgm:spPr/>
      <dgm:t>
        <a:bodyPr/>
        <a:lstStyle/>
        <a:p>
          <a:endParaRPr lang="en-US"/>
        </a:p>
      </dgm:t>
    </dgm:pt>
    <dgm:pt modelId="{81BE5DF3-4CD0-4787-BBD6-95FFE8CE7B8F}" type="sibTrans" cxnId="{1AA4B005-4E6D-42EE-ADB2-27DFCD8DE4FC}">
      <dgm:prSet/>
      <dgm:spPr/>
      <dgm:t>
        <a:bodyPr/>
        <a:lstStyle/>
        <a:p>
          <a:endParaRPr lang="en-US"/>
        </a:p>
      </dgm:t>
    </dgm:pt>
    <dgm:pt modelId="{9DAACB1A-536C-4D6D-BFDC-D39639F80174}">
      <dgm:prSet phldrT="[Text]" phldr="1"/>
      <dgm:spPr/>
      <dgm:t>
        <a:bodyPr/>
        <a:lstStyle/>
        <a:p>
          <a:endParaRPr lang="en-US"/>
        </a:p>
      </dgm:t>
    </dgm:pt>
    <dgm:pt modelId="{92E9788D-3B23-4B6C-995A-7778D4AC8E10}" type="parTrans" cxnId="{1AED4339-CE92-4CDE-8451-5FBBAB0269F1}">
      <dgm:prSet/>
      <dgm:spPr/>
      <dgm:t>
        <a:bodyPr/>
        <a:lstStyle/>
        <a:p>
          <a:endParaRPr lang="en-US"/>
        </a:p>
      </dgm:t>
    </dgm:pt>
    <dgm:pt modelId="{B4C9E62B-44F1-4FCA-AEDB-B576BD615C54}" type="sibTrans" cxnId="{1AED4339-CE92-4CDE-8451-5FBBAB0269F1}">
      <dgm:prSet/>
      <dgm:spPr/>
      <dgm:t>
        <a:bodyPr/>
        <a:lstStyle/>
        <a:p>
          <a:endParaRPr lang="en-US"/>
        </a:p>
      </dgm:t>
    </dgm:pt>
    <dgm:pt modelId="{B818A29B-1AD6-44C3-9273-13235861DD41}">
      <dgm:prSet phldrT="[Text]" phldr="1"/>
      <dgm:spPr/>
      <dgm:t>
        <a:bodyPr/>
        <a:lstStyle/>
        <a:p>
          <a:endParaRPr lang="en-US"/>
        </a:p>
      </dgm:t>
    </dgm:pt>
    <dgm:pt modelId="{575E53D2-A59E-4C85-8F59-481525832D97}" type="parTrans" cxnId="{EA8B1F48-0067-4C91-913E-18D6FEFFC3C8}">
      <dgm:prSet/>
      <dgm:spPr/>
      <dgm:t>
        <a:bodyPr/>
        <a:lstStyle/>
        <a:p>
          <a:endParaRPr lang="en-US"/>
        </a:p>
      </dgm:t>
    </dgm:pt>
    <dgm:pt modelId="{FE99A47F-FEF5-4E37-BD52-D407DE30E077}" type="sibTrans" cxnId="{EA8B1F48-0067-4C91-913E-18D6FEFFC3C8}">
      <dgm:prSet/>
      <dgm:spPr/>
      <dgm:t>
        <a:bodyPr/>
        <a:lstStyle/>
        <a:p>
          <a:endParaRPr lang="en-US"/>
        </a:p>
      </dgm:t>
    </dgm:pt>
    <dgm:pt modelId="{5FA9ACC2-E1DA-4FC0-BDF7-01D6332DA02E}">
      <dgm:prSet phldrT="[Text]" phldr="1"/>
      <dgm:spPr/>
      <dgm:t>
        <a:bodyPr/>
        <a:lstStyle/>
        <a:p>
          <a:endParaRPr lang="en-US"/>
        </a:p>
      </dgm:t>
    </dgm:pt>
    <dgm:pt modelId="{C7FF01E2-BA5D-4E8E-97F7-C615D0DF98F8}" type="parTrans" cxnId="{F5CF10D8-5D8F-4731-9DA2-5A96401441DE}">
      <dgm:prSet/>
      <dgm:spPr/>
      <dgm:t>
        <a:bodyPr/>
        <a:lstStyle/>
        <a:p>
          <a:endParaRPr lang="en-US"/>
        </a:p>
      </dgm:t>
    </dgm:pt>
    <dgm:pt modelId="{52E1DEF9-2D8A-4EFE-BA82-C7F4E6A81D0C}" type="sibTrans" cxnId="{F5CF10D8-5D8F-4731-9DA2-5A96401441DE}">
      <dgm:prSet/>
      <dgm:spPr/>
      <dgm:t>
        <a:bodyPr/>
        <a:lstStyle/>
        <a:p>
          <a:endParaRPr lang="en-US"/>
        </a:p>
      </dgm:t>
    </dgm:pt>
    <dgm:pt modelId="{343FD467-F3FB-46CF-BB12-385E867A5184}" type="pres">
      <dgm:prSet presAssocID="{94C7FDD0-AAD2-419C-AFC9-BBBE6FC36DB3}" presName="hierChild1" presStyleCnt="0">
        <dgm:presLayoutVars>
          <dgm:chPref val="1"/>
          <dgm:dir/>
          <dgm:animOne val="branch"/>
          <dgm:animLvl val="lvl"/>
          <dgm:resizeHandles/>
        </dgm:presLayoutVars>
      </dgm:prSet>
      <dgm:spPr/>
      <dgm:t>
        <a:bodyPr/>
        <a:lstStyle/>
        <a:p>
          <a:endParaRPr lang="en-US"/>
        </a:p>
      </dgm:t>
    </dgm:pt>
    <dgm:pt modelId="{B1A89F8C-C6D4-45D7-A95D-988D543CE467}" type="pres">
      <dgm:prSet presAssocID="{E9667564-14AD-45D3-ACD8-C1ABCCBCC63E}" presName="hierRoot1" presStyleCnt="0"/>
      <dgm:spPr/>
    </dgm:pt>
    <dgm:pt modelId="{B80E2564-7341-4560-94FF-11EE2C253BA5}" type="pres">
      <dgm:prSet presAssocID="{E9667564-14AD-45D3-ACD8-C1ABCCBCC63E}" presName="composite" presStyleCnt="0"/>
      <dgm:spPr/>
    </dgm:pt>
    <dgm:pt modelId="{7B8EC359-1DC9-40A7-BE23-29B312694D6D}" type="pres">
      <dgm:prSet presAssocID="{E9667564-14AD-45D3-ACD8-C1ABCCBCC63E}" presName="image" presStyleLbl="node0" presStyleIdx="0" presStyleCnt="1"/>
      <dgm:spPr/>
    </dgm:pt>
    <dgm:pt modelId="{9F781E3E-3DC2-4767-882E-70745A7F3EC5}" type="pres">
      <dgm:prSet presAssocID="{E9667564-14AD-45D3-ACD8-C1ABCCBCC63E}" presName="text" presStyleLbl="revTx" presStyleIdx="0" presStyleCnt="6">
        <dgm:presLayoutVars>
          <dgm:chPref val="3"/>
        </dgm:presLayoutVars>
      </dgm:prSet>
      <dgm:spPr/>
      <dgm:t>
        <a:bodyPr/>
        <a:lstStyle/>
        <a:p>
          <a:endParaRPr lang="en-US"/>
        </a:p>
      </dgm:t>
    </dgm:pt>
    <dgm:pt modelId="{64F02A9C-8D20-402F-86F0-015C5CD6677B}" type="pres">
      <dgm:prSet presAssocID="{E9667564-14AD-45D3-ACD8-C1ABCCBCC63E}" presName="hierChild2" presStyleCnt="0"/>
      <dgm:spPr/>
    </dgm:pt>
    <dgm:pt modelId="{0BD93774-5544-47E6-A145-4356ABA9BBD9}" type="pres">
      <dgm:prSet presAssocID="{D12E1C3C-E60F-4DB2-B574-8BF0636F23C6}" presName="Name10" presStyleLbl="parChTrans1D2" presStyleIdx="0" presStyleCnt="2"/>
      <dgm:spPr/>
      <dgm:t>
        <a:bodyPr/>
        <a:lstStyle/>
        <a:p>
          <a:endParaRPr lang="en-US"/>
        </a:p>
      </dgm:t>
    </dgm:pt>
    <dgm:pt modelId="{0ABD5E6B-692E-41C4-8544-142283DA578C}" type="pres">
      <dgm:prSet presAssocID="{6A07B9C6-4160-455E-8C74-72F18E901367}" presName="hierRoot2" presStyleCnt="0"/>
      <dgm:spPr/>
    </dgm:pt>
    <dgm:pt modelId="{BE0260C9-70DB-4433-806B-6DCA26C492CE}" type="pres">
      <dgm:prSet presAssocID="{6A07B9C6-4160-455E-8C74-72F18E901367}" presName="composite2" presStyleCnt="0"/>
      <dgm:spPr/>
    </dgm:pt>
    <dgm:pt modelId="{BA7709C3-4A7D-4077-B8D4-23D52909BE2B}" type="pres">
      <dgm:prSet presAssocID="{6A07B9C6-4160-455E-8C74-72F18E901367}" presName="image2" presStyleLbl="node2" presStyleIdx="0" presStyleCnt="2"/>
      <dgm:spPr/>
    </dgm:pt>
    <dgm:pt modelId="{41289680-632B-42A4-BCE5-4C20A233DA89}" type="pres">
      <dgm:prSet presAssocID="{6A07B9C6-4160-455E-8C74-72F18E901367}" presName="text2" presStyleLbl="revTx" presStyleIdx="1" presStyleCnt="6">
        <dgm:presLayoutVars>
          <dgm:chPref val="3"/>
        </dgm:presLayoutVars>
      </dgm:prSet>
      <dgm:spPr/>
      <dgm:t>
        <a:bodyPr/>
        <a:lstStyle/>
        <a:p>
          <a:endParaRPr lang="en-US"/>
        </a:p>
      </dgm:t>
    </dgm:pt>
    <dgm:pt modelId="{DB3FD418-A445-44D7-8691-DCB43991B827}" type="pres">
      <dgm:prSet presAssocID="{6A07B9C6-4160-455E-8C74-72F18E901367}" presName="hierChild3" presStyleCnt="0"/>
      <dgm:spPr/>
    </dgm:pt>
    <dgm:pt modelId="{8886C317-73EB-439B-AF8C-24AC2053367A}" type="pres">
      <dgm:prSet presAssocID="{E56C7C4E-AC5E-4B58-889C-C4F9F4F6EC69}" presName="Name17" presStyleLbl="parChTrans1D3" presStyleIdx="0" presStyleCnt="3"/>
      <dgm:spPr/>
      <dgm:t>
        <a:bodyPr/>
        <a:lstStyle/>
        <a:p>
          <a:endParaRPr lang="en-US"/>
        </a:p>
      </dgm:t>
    </dgm:pt>
    <dgm:pt modelId="{A392556A-C14F-4D54-AEFD-C721D44F7C5A}" type="pres">
      <dgm:prSet presAssocID="{664B6403-71A3-4A6B-B058-991FE51306E9}" presName="hierRoot3" presStyleCnt="0"/>
      <dgm:spPr/>
    </dgm:pt>
    <dgm:pt modelId="{377AC492-B950-47F0-9EE1-17681839B577}" type="pres">
      <dgm:prSet presAssocID="{664B6403-71A3-4A6B-B058-991FE51306E9}" presName="composite3" presStyleCnt="0"/>
      <dgm:spPr/>
    </dgm:pt>
    <dgm:pt modelId="{D5E7A8B0-6A3A-4D79-A0D2-3741B750C434}" type="pres">
      <dgm:prSet presAssocID="{664B6403-71A3-4A6B-B058-991FE51306E9}" presName="image3" presStyleLbl="node3" presStyleIdx="0" presStyleCnt="3"/>
      <dgm:spPr/>
    </dgm:pt>
    <dgm:pt modelId="{C7C737C7-06D8-49B6-8471-838B1324602B}" type="pres">
      <dgm:prSet presAssocID="{664B6403-71A3-4A6B-B058-991FE51306E9}" presName="text3" presStyleLbl="revTx" presStyleIdx="2" presStyleCnt="6">
        <dgm:presLayoutVars>
          <dgm:chPref val="3"/>
        </dgm:presLayoutVars>
      </dgm:prSet>
      <dgm:spPr/>
      <dgm:t>
        <a:bodyPr/>
        <a:lstStyle/>
        <a:p>
          <a:endParaRPr lang="en-US"/>
        </a:p>
      </dgm:t>
    </dgm:pt>
    <dgm:pt modelId="{792C1E6D-1E13-47DE-8446-FEC633A56940}" type="pres">
      <dgm:prSet presAssocID="{664B6403-71A3-4A6B-B058-991FE51306E9}" presName="hierChild4" presStyleCnt="0"/>
      <dgm:spPr/>
    </dgm:pt>
    <dgm:pt modelId="{41B01B65-88F7-4158-BFC4-30E0EF0E5D42}" type="pres">
      <dgm:prSet presAssocID="{92E9788D-3B23-4B6C-995A-7778D4AC8E10}" presName="Name17" presStyleLbl="parChTrans1D3" presStyleIdx="1" presStyleCnt="3"/>
      <dgm:spPr/>
      <dgm:t>
        <a:bodyPr/>
        <a:lstStyle/>
        <a:p>
          <a:endParaRPr lang="en-US"/>
        </a:p>
      </dgm:t>
    </dgm:pt>
    <dgm:pt modelId="{0F59BE54-BEE8-484E-B9A1-BB01042F8041}" type="pres">
      <dgm:prSet presAssocID="{9DAACB1A-536C-4D6D-BFDC-D39639F80174}" presName="hierRoot3" presStyleCnt="0"/>
      <dgm:spPr/>
    </dgm:pt>
    <dgm:pt modelId="{BCFEE3CA-EBCD-40D1-AC85-AF8CCDB0088D}" type="pres">
      <dgm:prSet presAssocID="{9DAACB1A-536C-4D6D-BFDC-D39639F80174}" presName="composite3" presStyleCnt="0"/>
      <dgm:spPr/>
    </dgm:pt>
    <dgm:pt modelId="{B723AF5F-FDBC-4CAD-B15D-2D38F9A0770C}" type="pres">
      <dgm:prSet presAssocID="{9DAACB1A-536C-4D6D-BFDC-D39639F80174}" presName="image3" presStyleLbl="node3" presStyleIdx="1" presStyleCnt="3"/>
      <dgm:spPr/>
    </dgm:pt>
    <dgm:pt modelId="{6A8A9762-97A0-4179-96E8-58A267043AA7}" type="pres">
      <dgm:prSet presAssocID="{9DAACB1A-536C-4D6D-BFDC-D39639F80174}" presName="text3" presStyleLbl="revTx" presStyleIdx="3" presStyleCnt="6">
        <dgm:presLayoutVars>
          <dgm:chPref val="3"/>
        </dgm:presLayoutVars>
      </dgm:prSet>
      <dgm:spPr/>
      <dgm:t>
        <a:bodyPr/>
        <a:lstStyle/>
        <a:p>
          <a:endParaRPr lang="en-US"/>
        </a:p>
      </dgm:t>
    </dgm:pt>
    <dgm:pt modelId="{E2DDB516-C27C-44AF-A684-E947AD9E08BD}" type="pres">
      <dgm:prSet presAssocID="{9DAACB1A-536C-4D6D-BFDC-D39639F80174}" presName="hierChild4" presStyleCnt="0"/>
      <dgm:spPr/>
    </dgm:pt>
    <dgm:pt modelId="{CE07A075-C6A1-4671-9E47-E00AACDC435B}" type="pres">
      <dgm:prSet presAssocID="{575E53D2-A59E-4C85-8F59-481525832D97}" presName="Name10" presStyleLbl="parChTrans1D2" presStyleIdx="1" presStyleCnt="2"/>
      <dgm:spPr/>
      <dgm:t>
        <a:bodyPr/>
        <a:lstStyle/>
        <a:p>
          <a:endParaRPr lang="en-US"/>
        </a:p>
      </dgm:t>
    </dgm:pt>
    <dgm:pt modelId="{3EFC0676-4ADC-4382-AFC5-7785DD8A0D4A}" type="pres">
      <dgm:prSet presAssocID="{B818A29B-1AD6-44C3-9273-13235861DD41}" presName="hierRoot2" presStyleCnt="0"/>
      <dgm:spPr/>
    </dgm:pt>
    <dgm:pt modelId="{70772DD0-DD3C-41AC-9BE0-FA5E35EDC956}" type="pres">
      <dgm:prSet presAssocID="{B818A29B-1AD6-44C3-9273-13235861DD41}" presName="composite2" presStyleCnt="0"/>
      <dgm:spPr/>
    </dgm:pt>
    <dgm:pt modelId="{0E01F25D-3137-42B4-8BD4-03972C203C14}" type="pres">
      <dgm:prSet presAssocID="{B818A29B-1AD6-44C3-9273-13235861DD41}" presName="image2" presStyleLbl="node2" presStyleIdx="1" presStyleCnt="2"/>
      <dgm:spPr/>
    </dgm:pt>
    <dgm:pt modelId="{0060D829-33CC-4C76-8842-21284DEF264C}" type="pres">
      <dgm:prSet presAssocID="{B818A29B-1AD6-44C3-9273-13235861DD41}" presName="text2" presStyleLbl="revTx" presStyleIdx="4" presStyleCnt="6">
        <dgm:presLayoutVars>
          <dgm:chPref val="3"/>
        </dgm:presLayoutVars>
      </dgm:prSet>
      <dgm:spPr/>
      <dgm:t>
        <a:bodyPr/>
        <a:lstStyle/>
        <a:p>
          <a:endParaRPr lang="en-US"/>
        </a:p>
      </dgm:t>
    </dgm:pt>
    <dgm:pt modelId="{26D5A822-8DFB-4B65-9775-3785A960924A}" type="pres">
      <dgm:prSet presAssocID="{B818A29B-1AD6-44C3-9273-13235861DD41}" presName="hierChild3" presStyleCnt="0"/>
      <dgm:spPr/>
    </dgm:pt>
    <dgm:pt modelId="{00CFC339-A71B-4DCF-A73A-8C8431BD8F3B}" type="pres">
      <dgm:prSet presAssocID="{C7FF01E2-BA5D-4E8E-97F7-C615D0DF98F8}" presName="Name17" presStyleLbl="parChTrans1D3" presStyleIdx="2" presStyleCnt="3"/>
      <dgm:spPr/>
      <dgm:t>
        <a:bodyPr/>
        <a:lstStyle/>
        <a:p>
          <a:endParaRPr lang="en-US"/>
        </a:p>
      </dgm:t>
    </dgm:pt>
    <dgm:pt modelId="{FBD27A44-5684-42B8-9137-0905DBDB55B1}" type="pres">
      <dgm:prSet presAssocID="{5FA9ACC2-E1DA-4FC0-BDF7-01D6332DA02E}" presName="hierRoot3" presStyleCnt="0"/>
      <dgm:spPr/>
    </dgm:pt>
    <dgm:pt modelId="{4FFA733C-3C53-4540-99F5-8BDC48A03509}" type="pres">
      <dgm:prSet presAssocID="{5FA9ACC2-E1DA-4FC0-BDF7-01D6332DA02E}" presName="composite3" presStyleCnt="0"/>
      <dgm:spPr/>
    </dgm:pt>
    <dgm:pt modelId="{62585ED3-DD1F-468F-8727-16492DB18598}" type="pres">
      <dgm:prSet presAssocID="{5FA9ACC2-E1DA-4FC0-BDF7-01D6332DA02E}" presName="image3" presStyleLbl="node3" presStyleIdx="2" presStyleCnt="3"/>
      <dgm:spPr/>
    </dgm:pt>
    <dgm:pt modelId="{A04719F1-4AB0-48E7-B90A-7127CA78C5DA}" type="pres">
      <dgm:prSet presAssocID="{5FA9ACC2-E1DA-4FC0-BDF7-01D6332DA02E}" presName="text3" presStyleLbl="revTx" presStyleIdx="5" presStyleCnt="6">
        <dgm:presLayoutVars>
          <dgm:chPref val="3"/>
        </dgm:presLayoutVars>
      </dgm:prSet>
      <dgm:spPr/>
      <dgm:t>
        <a:bodyPr/>
        <a:lstStyle/>
        <a:p>
          <a:endParaRPr lang="en-US"/>
        </a:p>
      </dgm:t>
    </dgm:pt>
    <dgm:pt modelId="{394CE9F0-BC87-467D-9DEA-8BFF3DCB5242}" type="pres">
      <dgm:prSet presAssocID="{5FA9ACC2-E1DA-4FC0-BDF7-01D6332DA02E}" presName="hierChild4" presStyleCnt="0"/>
      <dgm:spPr/>
    </dgm:pt>
  </dgm:ptLst>
  <dgm:cxnLst>
    <dgm:cxn modelId="{F490AF73-43EB-4319-B7AF-FADB4E0771A4}" type="presOf" srcId="{92E9788D-3B23-4B6C-995A-7778D4AC8E10}" destId="{41B01B65-88F7-4158-BFC4-30E0EF0E5D42}" srcOrd="0" destOrd="0" presId="urn:microsoft.com/office/officeart/2009/layout/CirclePictureHierarchy"/>
    <dgm:cxn modelId="{7556D466-CA85-4435-8081-3F508E7BD14A}" type="presOf" srcId="{B818A29B-1AD6-44C3-9273-13235861DD41}" destId="{0060D829-33CC-4C76-8842-21284DEF264C}" srcOrd="0" destOrd="0" presId="urn:microsoft.com/office/officeart/2009/layout/CirclePictureHierarchy"/>
    <dgm:cxn modelId="{6EB6AB43-4924-4269-B20D-91FDE2A33200}" type="presOf" srcId="{9DAACB1A-536C-4D6D-BFDC-D39639F80174}" destId="{6A8A9762-97A0-4179-96E8-58A267043AA7}" srcOrd="0" destOrd="0" presId="urn:microsoft.com/office/officeart/2009/layout/CirclePictureHierarchy"/>
    <dgm:cxn modelId="{EDF0B1E6-6948-49A3-BE0B-508F6728F6F2}" type="presOf" srcId="{6A07B9C6-4160-455E-8C74-72F18E901367}" destId="{41289680-632B-42A4-BCE5-4C20A233DA89}" srcOrd="0" destOrd="0" presId="urn:microsoft.com/office/officeart/2009/layout/CirclePictureHierarchy"/>
    <dgm:cxn modelId="{95F6A97E-6EDB-4E08-8872-79FC742E8C1D}" type="presOf" srcId="{C7FF01E2-BA5D-4E8E-97F7-C615D0DF98F8}" destId="{00CFC339-A71B-4DCF-A73A-8C8431BD8F3B}" srcOrd="0" destOrd="0" presId="urn:microsoft.com/office/officeart/2009/layout/CirclePictureHierarchy"/>
    <dgm:cxn modelId="{98B51426-CC84-454B-A5A1-ACB46C3950FF}" type="presOf" srcId="{5FA9ACC2-E1DA-4FC0-BDF7-01D6332DA02E}" destId="{A04719F1-4AB0-48E7-B90A-7127CA78C5DA}" srcOrd="0" destOrd="0" presId="urn:microsoft.com/office/officeart/2009/layout/CirclePictureHierarchy"/>
    <dgm:cxn modelId="{CD8F3423-FCF2-4185-B764-13EE759361BA}" type="presOf" srcId="{E9667564-14AD-45D3-ACD8-C1ABCCBCC63E}" destId="{9F781E3E-3DC2-4767-882E-70745A7F3EC5}" srcOrd="0" destOrd="0" presId="urn:microsoft.com/office/officeart/2009/layout/CirclePictureHierarchy"/>
    <dgm:cxn modelId="{BC852D4C-3A6E-455F-9FA5-08D3D8E73CAA}" srcId="{E9667564-14AD-45D3-ACD8-C1ABCCBCC63E}" destId="{6A07B9C6-4160-455E-8C74-72F18E901367}" srcOrd="0" destOrd="0" parTransId="{D12E1C3C-E60F-4DB2-B574-8BF0636F23C6}" sibTransId="{4A84A777-7845-4F2B-80FF-4CA141BEC0D8}"/>
    <dgm:cxn modelId="{F5CF10D8-5D8F-4731-9DA2-5A96401441DE}" srcId="{B818A29B-1AD6-44C3-9273-13235861DD41}" destId="{5FA9ACC2-E1DA-4FC0-BDF7-01D6332DA02E}" srcOrd="0" destOrd="0" parTransId="{C7FF01E2-BA5D-4E8E-97F7-C615D0DF98F8}" sibTransId="{52E1DEF9-2D8A-4EFE-BA82-C7F4E6A81D0C}"/>
    <dgm:cxn modelId="{1AED4339-CE92-4CDE-8451-5FBBAB0269F1}" srcId="{6A07B9C6-4160-455E-8C74-72F18E901367}" destId="{9DAACB1A-536C-4D6D-BFDC-D39639F80174}" srcOrd="1" destOrd="0" parTransId="{92E9788D-3B23-4B6C-995A-7778D4AC8E10}" sibTransId="{B4C9E62B-44F1-4FCA-AEDB-B576BD615C54}"/>
    <dgm:cxn modelId="{966FE45F-4827-4DA0-807A-67872EF4D582}" type="presOf" srcId="{664B6403-71A3-4A6B-B058-991FE51306E9}" destId="{C7C737C7-06D8-49B6-8471-838B1324602B}" srcOrd="0" destOrd="0" presId="urn:microsoft.com/office/officeart/2009/layout/CirclePictureHierarchy"/>
    <dgm:cxn modelId="{D750873F-D599-49FF-92CD-DE1E3473E623}" srcId="{94C7FDD0-AAD2-419C-AFC9-BBBE6FC36DB3}" destId="{E9667564-14AD-45D3-ACD8-C1ABCCBCC63E}" srcOrd="0" destOrd="0" parTransId="{90463D30-C616-4947-BC17-7590517A7167}" sibTransId="{99978BF7-BFAD-4259-8CD5-F930CF966C34}"/>
    <dgm:cxn modelId="{9350AD66-C4E4-4508-A764-B36EE51D352C}" type="presOf" srcId="{575E53D2-A59E-4C85-8F59-481525832D97}" destId="{CE07A075-C6A1-4671-9E47-E00AACDC435B}" srcOrd="0" destOrd="0" presId="urn:microsoft.com/office/officeart/2009/layout/CirclePictureHierarchy"/>
    <dgm:cxn modelId="{3FF5B5A9-461F-48CE-A0A5-799F0EDD3FA5}" type="presOf" srcId="{94C7FDD0-AAD2-419C-AFC9-BBBE6FC36DB3}" destId="{343FD467-F3FB-46CF-BB12-385E867A5184}" srcOrd="0" destOrd="0" presId="urn:microsoft.com/office/officeart/2009/layout/CirclePictureHierarchy"/>
    <dgm:cxn modelId="{EA8B1F48-0067-4C91-913E-18D6FEFFC3C8}" srcId="{E9667564-14AD-45D3-ACD8-C1ABCCBCC63E}" destId="{B818A29B-1AD6-44C3-9273-13235861DD41}" srcOrd="1" destOrd="0" parTransId="{575E53D2-A59E-4C85-8F59-481525832D97}" sibTransId="{FE99A47F-FEF5-4E37-BD52-D407DE30E077}"/>
    <dgm:cxn modelId="{1AA4B005-4E6D-42EE-ADB2-27DFCD8DE4FC}" srcId="{6A07B9C6-4160-455E-8C74-72F18E901367}" destId="{664B6403-71A3-4A6B-B058-991FE51306E9}" srcOrd="0" destOrd="0" parTransId="{E56C7C4E-AC5E-4B58-889C-C4F9F4F6EC69}" sibTransId="{81BE5DF3-4CD0-4787-BBD6-95FFE8CE7B8F}"/>
    <dgm:cxn modelId="{DCEAED7D-9FD1-4EC1-AE5B-CDE4CF4E662C}" type="presOf" srcId="{D12E1C3C-E60F-4DB2-B574-8BF0636F23C6}" destId="{0BD93774-5544-47E6-A145-4356ABA9BBD9}" srcOrd="0" destOrd="0" presId="urn:microsoft.com/office/officeart/2009/layout/CirclePictureHierarchy"/>
    <dgm:cxn modelId="{FC9C29BC-9A36-4E77-9F75-63718544A722}" type="presOf" srcId="{E56C7C4E-AC5E-4B58-889C-C4F9F4F6EC69}" destId="{8886C317-73EB-439B-AF8C-24AC2053367A}" srcOrd="0" destOrd="0" presId="urn:microsoft.com/office/officeart/2009/layout/CirclePictureHierarchy"/>
    <dgm:cxn modelId="{7D12296E-9008-4251-8CA4-267F1B299232}" type="presParOf" srcId="{343FD467-F3FB-46CF-BB12-385E867A5184}" destId="{B1A89F8C-C6D4-45D7-A95D-988D543CE467}" srcOrd="0" destOrd="0" presId="urn:microsoft.com/office/officeart/2009/layout/CirclePictureHierarchy"/>
    <dgm:cxn modelId="{D96DBEC6-4BAF-4FC8-A4E3-529D22843151}" type="presParOf" srcId="{B1A89F8C-C6D4-45D7-A95D-988D543CE467}" destId="{B80E2564-7341-4560-94FF-11EE2C253BA5}" srcOrd="0" destOrd="0" presId="urn:microsoft.com/office/officeart/2009/layout/CirclePictureHierarchy"/>
    <dgm:cxn modelId="{232C6B0F-F819-46C9-B9B6-0ADBB4F1D7E5}" type="presParOf" srcId="{B80E2564-7341-4560-94FF-11EE2C253BA5}" destId="{7B8EC359-1DC9-40A7-BE23-29B312694D6D}" srcOrd="0" destOrd="0" presId="urn:microsoft.com/office/officeart/2009/layout/CirclePictureHierarchy"/>
    <dgm:cxn modelId="{BC7E9BF4-CCC7-49E5-9B3C-55BB89B3814F}" type="presParOf" srcId="{B80E2564-7341-4560-94FF-11EE2C253BA5}" destId="{9F781E3E-3DC2-4767-882E-70745A7F3EC5}" srcOrd="1" destOrd="0" presId="urn:microsoft.com/office/officeart/2009/layout/CirclePictureHierarchy"/>
    <dgm:cxn modelId="{564E7889-BCFF-4052-822B-3240F7346805}" type="presParOf" srcId="{B1A89F8C-C6D4-45D7-A95D-988D543CE467}" destId="{64F02A9C-8D20-402F-86F0-015C5CD6677B}" srcOrd="1" destOrd="0" presId="urn:microsoft.com/office/officeart/2009/layout/CirclePictureHierarchy"/>
    <dgm:cxn modelId="{E4F03B0C-14B2-4096-8F37-27A690B27AD6}" type="presParOf" srcId="{64F02A9C-8D20-402F-86F0-015C5CD6677B}" destId="{0BD93774-5544-47E6-A145-4356ABA9BBD9}" srcOrd="0" destOrd="0" presId="urn:microsoft.com/office/officeart/2009/layout/CirclePictureHierarchy"/>
    <dgm:cxn modelId="{76959D0E-9A7D-489D-824A-03016E07319C}" type="presParOf" srcId="{64F02A9C-8D20-402F-86F0-015C5CD6677B}" destId="{0ABD5E6B-692E-41C4-8544-142283DA578C}" srcOrd="1" destOrd="0" presId="urn:microsoft.com/office/officeart/2009/layout/CirclePictureHierarchy"/>
    <dgm:cxn modelId="{55FFA3BF-0B64-4A89-ABB7-D021A97B6427}" type="presParOf" srcId="{0ABD5E6B-692E-41C4-8544-142283DA578C}" destId="{BE0260C9-70DB-4433-806B-6DCA26C492CE}" srcOrd="0" destOrd="0" presId="urn:microsoft.com/office/officeart/2009/layout/CirclePictureHierarchy"/>
    <dgm:cxn modelId="{C7BF553C-28AD-4C11-A845-98260290A8C4}" type="presParOf" srcId="{BE0260C9-70DB-4433-806B-6DCA26C492CE}" destId="{BA7709C3-4A7D-4077-B8D4-23D52909BE2B}" srcOrd="0" destOrd="0" presId="urn:microsoft.com/office/officeart/2009/layout/CirclePictureHierarchy"/>
    <dgm:cxn modelId="{DC152646-D26F-441F-9420-D30CB1403EE3}" type="presParOf" srcId="{BE0260C9-70DB-4433-806B-6DCA26C492CE}" destId="{41289680-632B-42A4-BCE5-4C20A233DA89}" srcOrd="1" destOrd="0" presId="urn:microsoft.com/office/officeart/2009/layout/CirclePictureHierarchy"/>
    <dgm:cxn modelId="{4774E73F-6B83-4381-B589-53D1A3CAA9AF}" type="presParOf" srcId="{0ABD5E6B-692E-41C4-8544-142283DA578C}" destId="{DB3FD418-A445-44D7-8691-DCB43991B827}" srcOrd="1" destOrd="0" presId="urn:microsoft.com/office/officeart/2009/layout/CirclePictureHierarchy"/>
    <dgm:cxn modelId="{F6598BA0-DF5E-4E19-8403-CF487E70E315}" type="presParOf" srcId="{DB3FD418-A445-44D7-8691-DCB43991B827}" destId="{8886C317-73EB-439B-AF8C-24AC2053367A}" srcOrd="0" destOrd="0" presId="urn:microsoft.com/office/officeart/2009/layout/CirclePictureHierarchy"/>
    <dgm:cxn modelId="{1852DA2E-8F6B-447F-A11C-E7EF4C03B6B4}" type="presParOf" srcId="{DB3FD418-A445-44D7-8691-DCB43991B827}" destId="{A392556A-C14F-4D54-AEFD-C721D44F7C5A}" srcOrd="1" destOrd="0" presId="urn:microsoft.com/office/officeart/2009/layout/CirclePictureHierarchy"/>
    <dgm:cxn modelId="{56ADF243-77A1-4865-808E-698A6D621D4D}" type="presParOf" srcId="{A392556A-C14F-4D54-AEFD-C721D44F7C5A}" destId="{377AC492-B950-47F0-9EE1-17681839B577}" srcOrd="0" destOrd="0" presId="urn:microsoft.com/office/officeart/2009/layout/CirclePictureHierarchy"/>
    <dgm:cxn modelId="{03F8954C-3C7A-461D-8D01-9FAA1605AA0B}" type="presParOf" srcId="{377AC492-B950-47F0-9EE1-17681839B577}" destId="{D5E7A8B0-6A3A-4D79-A0D2-3741B750C434}" srcOrd="0" destOrd="0" presId="urn:microsoft.com/office/officeart/2009/layout/CirclePictureHierarchy"/>
    <dgm:cxn modelId="{95135ABD-CB11-4947-8E24-3393F7CC625D}" type="presParOf" srcId="{377AC492-B950-47F0-9EE1-17681839B577}" destId="{C7C737C7-06D8-49B6-8471-838B1324602B}" srcOrd="1" destOrd="0" presId="urn:microsoft.com/office/officeart/2009/layout/CirclePictureHierarchy"/>
    <dgm:cxn modelId="{6489907A-2BC0-4EF9-B684-5409909303EE}" type="presParOf" srcId="{A392556A-C14F-4D54-AEFD-C721D44F7C5A}" destId="{792C1E6D-1E13-47DE-8446-FEC633A56940}" srcOrd="1" destOrd="0" presId="urn:microsoft.com/office/officeart/2009/layout/CirclePictureHierarchy"/>
    <dgm:cxn modelId="{24A82C1F-D7AB-4B20-B0F5-75451288E47C}" type="presParOf" srcId="{DB3FD418-A445-44D7-8691-DCB43991B827}" destId="{41B01B65-88F7-4158-BFC4-30E0EF0E5D42}" srcOrd="2" destOrd="0" presId="urn:microsoft.com/office/officeart/2009/layout/CirclePictureHierarchy"/>
    <dgm:cxn modelId="{43A3CC8A-8999-4D6F-A54E-EDFD0CA215FC}" type="presParOf" srcId="{DB3FD418-A445-44D7-8691-DCB43991B827}" destId="{0F59BE54-BEE8-484E-B9A1-BB01042F8041}" srcOrd="3" destOrd="0" presId="urn:microsoft.com/office/officeart/2009/layout/CirclePictureHierarchy"/>
    <dgm:cxn modelId="{B4C8F081-4D2F-49A1-86D9-48BD95F37ED1}" type="presParOf" srcId="{0F59BE54-BEE8-484E-B9A1-BB01042F8041}" destId="{BCFEE3CA-EBCD-40D1-AC85-AF8CCDB0088D}" srcOrd="0" destOrd="0" presId="urn:microsoft.com/office/officeart/2009/layout/CirclePictureHierarchy"/>
    <dgm:cxn modelId="{630C1D7B-1797-4BCE-BC35-C044A11B4FFE}" type="presParOf" srcId="{BCFEE3CA-EBCD-40D1-AC85-AF8CCDB0088D}" destId="{B723AF5F-FDBC-4CAD-B15D-2D38F9A0770C}" srcOrd="0" destOrd="0" presId="urn:microsoft.com/office/officeart/2009/layout/CirclePictureHierarchy"/>
    <dgm:cxn modelId="{7B913FD2-5691-4CE3-B164-C2BE63976326}" type="presParOf" srcId="{BCFEE3CA-EBCD-40D1-AC85-AF8CCDB0088D}" destId="{6A8A9762-97A0-4179-96E8-58A267043AA7}" srcOrd="1" destOrd="0" presId="urn:microsoft.com/office/officeart/2009/layout/CirclePictureHierarchy"/>
    <dgm:cxn modelId="{B911DBC9-4838-416A-B0E2-9E7BB6C00E54}" type="presParOf" srcId="{0F59BE54-BEE8-484E-B9A1-BB01042F8041}" destId="{E2DDB516-C27C-44AF-A684-E947AD9E08BD}" srcOrd="1" destOrd="0" presId="urn:microsoft.com/office/officeart/2009/layout/CirclePictureHierarchy"/>
    <dgm:cxn modelId="{98D0BFDA-46F1-4369-8FF2-6457135BA4B1}" type="presParOf" srcId="{64F02A9C-8D20-402F-86F0-015C5CD6677B}" destId="{CE07A075-C6A1-4671-9E47-E00AACDC435B}" srcOrd="2" destOrd="0" presId="urn:microsoft.com/office/officeart/2009/layout/CirclePictureHierarchy"/>
    <dgm:cxn modelId="{216CFE42-E7D0-4B51-B548-729F213FA53D}" type="presParOf" srcId="{64F02A9C-8D20-402F-86F0-015C5CD6677B}" destId="{3EFC0676-4ADC-4382-AFC5-7785DD8A0D4A}" srcOrd="3" destOrd="0" presId="urn:microsoft.com/office/officeart/2009/layout/CirclePictureHierarchy"/>
    <dgm:cxn modelId="{F8E2792B-4CD1-4DA6-B8C1-C94FD9250F9F}" type="presParOf" srcId="{3EFC0676-4ADC-4382-AFC5-7785DD8A0D4A}" destId="{70772DD0-DD3C-41AC-9BE0-FA5E35EDC956}" srcOrd="0" destOrd="0" presId="urn:microsoft.com/office/officeart/2009/layout/CirclePictureHierarchy"/>
    <dgm:cxn modelId="{16505B6E-6F04-4BC2-816D-BF21FBD3BFAD}" type="presParOf" srcId="{70772DD0-DD3C-41AC-9BE0-FA5E35EDC956}" destId="{0E01F25D-3137-42B4-8BD4-03972C203C14}" srcOrd="0" destOrd="0" presId="urn:microsoft.com/office/officeart/2009/layout/CirclePictureHierarchy"/>
    <dgm:cxn modelId="{7D2F7234-2114-4E36-8060-2E0DF877518E}" type="presParOf" srcId="{70772DD0-DD3C-41AC-9BE0-FA5E35EDC956}" destId="{0060D829-33CC-4C76-8842-21284DEF264C}" srcOrd="1" destOrd="0" presId="urn:microsoft.com/office/officeart/2009/layout/CirclePictureHierarchy"/>
    <dgm:cxn modelId="{EF703541-F62C-4B4E-B9FD-E98F1EE1242A}" type="presParOf" srcId="{3EFC0676-4ADC-4382-AFC5-7785DD8A0D4A}" destId="{26D5A822-8DFB-4B65-9775-3785A960924A}" srcOrd="1" destOrd="0" presId="urn:microsoft.com/office/officeart/2009/layout/CirclePictureHierarchy"/>
    <dgm:cxn modelId="{648E942A-09E6-48B0-AEE1-E55C1565EA5E}" type="presParOf" srcId="{26D5A822-8DFB-4B65-9775-3785A960924A}" destId="{00CFC339-A71B-4DCF-A73A-8C8431BD8F3B}" srcOrd="0" destOrd="0" presId="urn:microsoft.com/office/officeart/2009/layout/CirclePictureHierarchy"/>
    <dgm:cxn modelId="{61A635A0-6495-4AEF-BDF3-F2CCCFB57F29}" type="presParOf" srcId="{26D5A822-8DFB-4B65-9775-3785A960924A}" destId="{FBD27A44-5684-42B8-9137-0905DBDB55B1}" srcOrd="1" destOrd="0" presId="urn:microsoft.com/office/officeart/2009/layout/CirclePictureHierarchy"/>
    <dgm:cxn modelId="{50ACEAC4-5E65-44CA-B5EA-FFA5F74AC2A9}" type="presParOf" srcId="{FBD27A44-5684-42B8-9137-0905DBDB55B1}" destId="{4FFA733C-3C53-4540-99F5-8BDC48A03509}" srcOrd="0" destOrd="0" presId="urn:microsoft.com/office/officeart/2009/layout/CirclePictureHierarchy"/>
    <dgm:cxn modelId="{2913C5BE-E9C7-4B6B-8559-6854FCCF17F0}" type="presParOf" srcId="{4FFA733C-3C53-4540-99F5-8BDC48A03509}" destId="{62585ED3-DD1F-468F-8727-16492DB18598}" srcOrd="0" destOrd="0" presId="urn:microsoft.com/office/officeart/2009/layout/CirclePictureHierarchy"/>
    <dgm:cxn modelId="{771348C7-8A43-40ED-ABED-88ABFA55B716}" type="presParOf" srcId="{4FFA733C-3C53-4540-99F5-8BDC48A03509}" destId="{A04719F1-4AB0-48E7-B90A-7127CA78C5DA}" srcOrd="1" destOrd="0" presId="urn:microsoft.com/office/officeart/2009/layout/CirclePictureHierarchy"/>
    <dgm:cxn modelId="{6A7BBD5F-613D-4EEA-8ECD-2C744C2E436F}" type="presParOf" srcId="{FBD27A44-5684-42B8-9137-0905DBDB55B1}" destId="{394CE9F0-BC87-467D-9DEA-8BFF3DCB5242}" srcOrd="1" destOrd="0" presId="urn:microsoft.com/office/officeart/2009/layout/CirclePictureHierarchy"/>
  </dgm:cxnLst>
  <dgm:bg/>
  <dgm:whole/>
  <dgm:extLst>
    <a:ext uri="http://schemas.microsoft.com/office/drawing/2008/diagram">
      <dsp:dataModelExt xmlns:dsp="http://schemas.microsoft.com/office/drawing/2008/diagram" relId="rId5"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00CFC339-A71B-4DCF-A73A-8C8431BD8F3B}">
      <dsp:nvSpPr>
        <dsp:cNvPr id="0" name=""/>
        <dsp:cNvSpPr/>
      </dsp:nvSpPr>
      <dsp:spPr>
        <a:xfrm>
          <a:off x="3383280" y="1658064"/>
          <a:ext cx="91440" cy="180022"/>
        </a:xfrm>
        <a:custGeom>
          <a:avLst/>
          <a:gdLst/>
          <a:ahLst/>
          <a:cxnLst/>
          <a:rect l="0" t="0" r="0" b="0"/>
          <a:pathLst>
            <a:path>
              <a:moveTo>
                <a:pt x="45720" y="0"/>
              </a:moveTo>
              <a:lnTo>
                <a:pt x="4572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CE07A075-C6A1-4671-9E47-E00AACDC435B}">
      <dsp:nvSpPr>
        <dsp:cNvPr id="0" name=""/>
        <dsp:cNvSpPr/>
      </dsp:nvSpPr>
      <dsp:spPr>
        <a:xfrm>
          <a:off x="2250281" y="906541"/>
          <a:ext cx="1178718" cy="180022"/>
        </a:xfrm>
        <a:custGeom>
          <a:avLst/>
          <a:gdLst/>
          <a:ahLst/>
          <a:cxnLst/>
          <a:rect l="0" t="0" r="0" b="0"/>
          <a:pathLst>
            <a:path>
              <a:moveTo>
                <a:pt x="0" y="0"/>
              </a:moveTo>
              <a:lnTo>
                <a:pt x="0" y="90725"/>
              </a:lnTo>
              <a:lnTo>
                <a:pt x="1178718" y="90725"/>
              </a:lnTo>
              <a:lnTo>
                <a:pt x="1178718"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41B01B65-88F7-4158-BFC4-30E0EF0E5D42}">
      <dsp:nvSpPr>
        <dsp:cNvPr id="0" name=""/>
        <dsp:cNvSpPr/>
      </dsp:nvSpPr>
      <dsp:spPr>
        <a:xfrm>
          <a:off x="1071562" y="1658064"/>
          <a:ext cx="785812" cy="180022"/>
        </a:xfrm>
        <a:custGeom>
          <a:avLst/>
          <a:gdLst/>
          <a:ahLst/>
          <a:cxnLst/>
          <a:rect l="0" t="0" r="0" b="0"/>
          <a:pathLst>
            <a:path>
              <a:moveTo>
                <a:pt x="0" y="0"/>
              </a:moveTo>
              <a:lnTo>
                <a:pt x="0" y="90725"/>
              </a:lnTo>
              <a:lnTo>
                <a:pt x="785812" y="90725"/>
              </a:lnTo>
              <a:lnTo>
                <a:pt x="785812"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8886C317-73EB-439B-AF8C-24AC2053367A}">
      <dsp:nvSpPr>
        <dsp:cNvPr id="0" name=""/>
        <dsp:cNvSpPr/>
      </dsp:nvSpPr>
      <dsp:spPr>
        <a:xfrm>
          <a:off x="285749" y="1658064"/>
          <a:ext cx="785812" cy="180022"/>
        </a:xfrm>
        <a:custGeom>
          <a:avLst/>
          <a:gdLst/>
          <a:ahLst/>
          <a:cxnLst/>
          <a:rect l="0" t="0" r="0" b="0"/>
          <a:pathLst>
            <a:path>
              <a:moveTo>
                <a:pt x="785812" y="0"/>
              </a:moveTo>
              <a:lnTo>
                <a:pt x="785812" y="90725"/>
              </a:lnTo>
              <a:lnTo>
                <a:pt x="0" y="90725"/>
              </a:lnTo>
              <a:lnTo>
                <a:pt x="0" y="180022"/>
              </a:lnTo>
            </a:path>
          </a:pathLst>
        </a:custGeom>
        <a:noFill/>
        <a:ln w="25400" cap="flat" cmpd="sng" algn="ctr">
          <a:solidFill>
            <a:schemeClr val="accent1">
              <a:shade val="8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0BD93774-5544-47E6-A145-4356ABA9BBD9}">
      <dsp:nvSpPr>
        <dsp:cNvPr id="0" name=""/>
        <dsp:cNvSpPr/>
      </dsp:nvSpPr>
      <dsp:spPr>
        <a:xfrm>
          <a:off x="1071562" y="906541"/>
          <a:ext cx="1178718" cy="180022"/>
        </a:xfrm>
        <a:custGeom>
          <a:avLst/>
          <a:gdLst/>
          <a:ahLst/>
          <a:cxnLst/>
          <a:rect l="0" t="0" r="0" b="0"/>
          <a:pathLst>
            <a:path>
              <a:moveTo>
                <a:pt x="1178718" y="0"/>
              </a:moveTo>
              <a:lnTo>
                <a:pt x="1178718" y="90725"/>
              </a:lnTo>
              <a:lnTo>
                <a:pt x="0" y="90725"/>
              </a:lnTo>
              <a:lnTo>
                <a:pt x="0" y="180022"/>
              </a:lnTo>
            </a:path>
          </a:pathLst>
        </a:custGeom>
        <a:noFill/>
        <a:ln w="25400" cap="flat" cmpd="sng" algn="ctr">
          <a:solidFill>
            <a:schemeClr val="accent1">
              <a:shade val="60000"/>
              <a:hueOff val="0"/>
              <a:satOff val="0"/>
              <a:lumOff val="0"/>
              <a:alphaOff val="0"/>
            </a:schemeClr>
          </a:solidFill>
          <a:prstDash val="solid"/>
        </a:ln>
        <a:effectLst/>
      </dsp:spPr>
      <dsp:style>
        <a:lnRef idx="2">
          <a:scrgbClr r="0" g="0" b="0"/>
        </a:lnRef>
        <a:fillRef idx="0">
          <a:scrgbClr r="0" g="0" b="0"/>
        </a:fillRef>
        <a:effectRef idx="0">
          <a:scrgbClr r="0" g="0" b="0"/>
        </a:effectRef>
        <a:fontRef idx="minor"/>
      </dsp:style>
    </dsp:sp>
    <dsp:sp modelId="{7B8EC359-1DC9-40A7-BE23-29B312694D6D}">
      <dsp:nvSpPr>
        <dsp:cNvPr id="0" name=""/>
        <dsp:cNvSpPr/>
      </dsp:nvSpPr>
      <dsp:spPr>
        <a:xfrm>
          <a:off x="1964531" y="335041"/>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9F781E3E-3DC2-4767-882E-70745A7F3EC5}">
      <dsp:nvSpPr>
        <dsp:cNvPr id="0" name=""/>
        <dsp:cNvSpPr/>
      </dsp:nvSpPr>
      <dsp:spPr>
        <a:xfrm>
          <a:off x="2536031" y="333613"/>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536031" y="333613"/>
        <a:ext cx="857250" cy="571499"/>
      </dsp:txXfrm>
    </dsp:sp>
    <dsp:sp modelId="{BA7709C3-4A7D-4077-B8D4-23D52909BE2B}">
      <dsp:nvSpPr>
        <dsp:cNvPr id="0" name=""/>
        <dsp:cNvSpPr/>
      </dsp:nvSpPr>
      <dsp:spPr>
        <a:xfrm>
          <a:off x="785812"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41289680-632B-42A4-BCE5-4C20A233DA89}">
      <dsp:nvSpPr>
        <dsp:cNvPr id="0" name=""/>
        <dsp:cNvSpPr/>
      </dsp:nvSpPr>
      <dsp:spPr>
        <a:xfrm>
          <a:off x="1357312"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1357312" y="1085135"/>
        <a:ext cx="857250" cy="571499"/>
      </dsp:txXfrm>
    </dsp:sp>
    <dsp:sp modelId="{D5E7A8B0-6A3A-4D79-A0D2-3741B750C434}">
      <dsp:nvSpPr>
        <dsp:cNvPr id="0" name=""/>
        <dsp:cNvSpPr/>
      </dsp:nvSpPr>
      <dsp:spPr>
        <a:xfrm>
          <a:off x="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C7C737C7-06D8-49B6-8471-838B1324602B}">
      <dsp:nvSpPr>
        <dsp:cNvPr id="0" name=""/>
        <dsp:cNvSpPr/>
      </dsp:nvSpPr>
      <dsp:spPr>
        <a:xfrm>
          <a:off x="571499"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571499" y="1836658"/>
        <a:ext cx="857250" cy="571499"/>
      </dsp:txXfrm>
    </dsp:sp>
    <dsp:sp modelId="{B723AF5F-FDBC-4CAD-B15D-2D38F9A0770C}">
      <dsp:nvSpPr>
        <dsp:cNvPr id="0" name=""/>
        <dsp:cNvSpPr/>
      </dsp:nvSpPr>
      <dsp:spPr>
        <a:xfrm>
          <a:off x="1571624"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6A8A9762-97A0-4179-96E8-58A267043AA7}">
      <dsp:nvSpPr>
        <dsp:cNvPr id="0" name=""/>
        <dsp:cNvSpPr/>
      </dsp:nvSpPr>
      <dsp:spPr>
        <a:xfrm>
          <a:off x="2143125"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2143125" y="1836658"/>
        <a:ext cx="857250" cy="571499"/>
      </dsp:txXfrm>
    </dsp:sp>
    <dsp:sp modelId="{0E01F25D-3137-42B4-8BD4-03972C203C14}">
      <dsp:nvSpPr>
        <dsp:cNvPr id="0" name=""/>
        <dsp:cNvSpPr/>
      </dsp:nvSpPr>
      <dsp:spPr>
        <a:xfrm>
          <a:off x="3143250" y="1086564"/>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0060D829-33CC-4C76-8842-21284DEF264C}">
      <dsp:nvSpPr>
        <dsp:cNvPr id="0" name=""/>
        <dsp:cNvSpPr/>
      </dsp:nvSpPr>
      <dsp:spPr>
        <a:xfrm>
          <a:off x="3714750" y="1085135"/>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085135"/>
        <a:ext cx="857250" cy="571499"/>
      </dsp:txXfrm>
    </dsp:sp>
    <dsp:sp modelId="{62585ED3-DD1F-468F-8727-16492DB18598}">
      <dsp:nvSpPr>
        <dsp:cNvPr id="0" name=""/>
        <dsp:cNvSpPr/>
      </dsp:nvSpPr>
      <dsp:spPr>
        <a:xfrm>
          <a:off x="3143250" y="1838086"/>
          <a:ext cx="571499" cy="571499"/>
        </a:xfrm>
        <a:prstGeom prst="ellipse">
          <a:avLst/>
        </a:prstGeom>
        <a:solidFill>
          <a:schemeClr val="accent1">
            <a:hueOff val="0"/>
            <a:satOff val="0"/>
            <a:lumOff val="0"/>
            <a:alphaOff val="0"/>
          </a:schemeClr>
        </a:solidFill>
        <a:ln w="25400" cap="flat" cmpd="sng" algn="ctr">
          <a:solidFill>
            <a:schemeClr val="lt1">
              <a:hueOff val="0"/>
              <a:satOff val="0"/>
              <a:lumOff val="0"/>
              <a:alphaOff val="0"/>
            </a:schemeClr>
          </a:solidFill>
          <a:prstDash val="solid"/>
        </a:ln>
        <a:effectLst/>
      </dsp:spPr>
      <dsp:style>
        <a:lnRef idx="2">
          <a:scrgbClr r="0" g="0" b="0"/>
        </a:lnRef>
        <a:fillRef idx="1">
          <a:scrgbClr r="0" g="0" b="0"/>
        </a:fillRef>
        <a:effectRef idx="0">
          <a:scrgbClr r="0" g="0" b="0"/>
        </a:effectRef>
        <a:fontRef idx="minor">
          <a:schemeClr val="lt1"/>
        </a:fontRef>
      </dsp:style>
    </dsp:sp>
    <dsp:sp modelId="{A04719F1-4AB0-48E7-B90A-7127CA78C5DA}">
      <dsp:nvSpPr>
        <dsp:cNvPr id="0" name=""/>
        <dsp:cNvSpPr/>
      </dsp:nvSpPr>
      <dsp:spPr>
        <a:xfrm>
          <a:off x="3714750" y="1836658"/>
          <a:ext cx="857250" cy="571499"/>
        </a:xfrm>
        <a:prstGeom prst="rect">
          <a:avLst/>
        </a:prstGeom>
        <a:noFill/>
        <a:ln>
          <a:noFill/>
        </a:ln>
        <a:effectLst/>
      </dsp:spPr>
      <dsp:style>
        <a:lnRef idx="0">
          <a:scrgbClr r="0" g="0" b="0"/>
        </a:lnRef>
        <a:fillRef idx="0">
          <a:scrgbClr r="0" g="0" b="0"/>
        </a:fillRef>
        <a:effectRef idx="0">
          <a:scrgbClr r="0" g="0" b="0"/>
        </a:effectRef>
        <a:fontRef idx="minor"/>
      </dsp:style>
      <dsp:txBody>
        <a:bodyPr spcFirstLastPara="0" vert="horz" wrap="square" lIns="87630" tIns="87630" rIns="87630" bIns="87630" numCol="1" spcCol="1270" anchor="ctr" anchorCtr="0">
          <a:noAutofit/>
        </a:bodyPr>
        <a:lstStyle/>
        <a:p>
          <a:pPr lvl="0" algn="l" defTabSz="1022350">
            <a:lnSpc>
              <a:spcPct val="90000"/>
            </a:lnSpc>
            <a:spcBef>
              <a:spcPct val="0"/>
            </a:spcBef>
            <a:spcAft>
              <a:spcPct val="35000"/>
            </a:spcAft>
          </a:pPr>
          <a:endParaRPr lang="en-US" sz="2300" kern="1200"/>
        </a:p>
      </dsp:txBody>
      <dsp:txXfrm>
        <a:off x="3714750" y="1836658"/>
        <a:ext cx="857250" cy="571499"/>
      </dsp:txXfrm>
    </dsp:sp>
  </dsp:spTree>
</dsp:drawing>
</file>

<file path=xl/diagrams/layout1.xml><?xml version="1.0" encoding="utf-8"?>
<dgm:layoutDef xmlns:dgm="http://schemas.openxmlformats.org/drawingml/2006/diagram" xmlns:a="http://schemas.openxmlformats.org/drawingml/2006/main" uniqueId="urn:microsoft.com/office/officeart/2009/layout/CirclePictureHierarchy">
  <dgm:title val=""/>
  <dgm:desc val=""/>
  <dgm:catLst>
    <dgm:cat type="hierarchy" pri="1750"/>
    <dgm:cat type="picture" pri="23000"/>
    <dgm:cat type="pictureconvert" pri="23000"/>
  </dgm:catLst>
  <dgm:sampData>
    <dgm:dataModel>
      <dgm:ptLst>
        <dgm:pt modelId="0" type="doc"/>
        <dgm:pt modelId="1">
          <dgm:prSet phldr="1"/>
        </dgm:pt>
        <dgm:pt modelId="2">
          <dgm:prSet phldr="1"/>
        </dgm:pt>
        <dgm:pt modelId="21">
          <dgm:prSet phldr="1"/>
        </dgm:pt>
        <dgm:pt modelId="22">
          <dgm:prSet phldr="1"/>
        </dgm:pt>
        <dgm:pt modelId="3">
          <dgm:prSet phldr="1"/>
        </dgm:pt>
        <dgm:pt modelId="31">
          <dgm:prSet phldr="1"/>
        </dgm:pt>
      </dgm:ptLst>
      <dgm:cxnLst>
        <dgm:cxn modelId="4" srcId="0" destId="1" srcOrd="0" destOrd="0"/>
        <dgm:cxn modelId="5" srcId="1" destId="2" srcOrd="0" destOrd="0"/>
        <dgm:cxn modelId="6" srcId="1" destId="3" srcOrd="1" destOrd="0"/>
        <dgm:cxn modelId="23" srcId="2" destId="21" srcOrd="0" destOrd="0"/>
        <dgm:cxn modelId="24" srcId="2" destId="22" srcOrd="1" destOrd="0"/>
        <dgm:cxn modelId="33" srcId="3" destId="31" srcOrd="0" destOrd="0"/>
      </dgm:cxnLst>
      <dgm:bg/>
      <dgm:whole/>
    </dgm:dataModel>
  </dgm:sampData>
  <dgm:styleData>
    <dgm:dataModel>
      <dgm:ptLst>
        <dgm:pt modelId="0" type="doc"/>
        <dgm:pt modelId="1"/>
        <dgm:pt modelId="11"/>
        <dgm:pt modelId="12"/>
      </dgm:ptLst>
      <dgm:cxnLst>
        <dgm:cxn modelId="2" srcId="0" destId="1" srcOrd="0" destOrd="0"/>
        <dgm:cxn modelId="13" srcId="1" destId="11" srcOrd="0" destOrd="0"/>
        <dgm:cxn modelId="14" srcId="1" destId="12" srcOrd="1" destOrd="0"/>
      </dgm:cxnLst>
      <dgm:bg/>
      <dgm:whole/>
    </dgm:dataModel>
  </dgm:styleData>
  <dgm:clrData>
    <dgm:dataModel>
      <dgm:ptLst>
        <dgm:pt modelId="0" type="doc"/>
        <dgm:pt modelId="1"/>
        <dgm:pt modelId="2"/>
        <dgm:pt modelId="21"/>
        <dgm:pt modelId="211"/>
        <dgm:pt modelId="3"/>
        <dgm:pt modelId="31"/>
        <dgm:pt modelId="311"/>
      </dgm:ptLst>
      <dgm:cxnLst>
        <dgm:cxn modelId="4" srcId="0" destId="1" srcOrd="0" destOrd="0"/>
        <dgm:cxn modelId="5" srcId="1" destId="2" srcOrd="0" destOrd="0"/>
        <dgm:cxn modelId="6" srcId="1" destId="3" srcOrd="1" destOrd="0"/>
        <dgm:cxn modelId="23" srcId="2" destId="21" srcOrd="0" destOrd="0"/>
        <dgm:cxn modelId="24" srcId="21" destId="211" srcOrd="0" destOrd="0"/>
        <dgm:cxn modelId="33" srcId="3" destId="31" srcOrd="0" destOrd="0"/>
        <dgm:cxn modelId="34" srcId="31" destId="311" srcOrd="0" destOrd="0"/>
      </dgm:cxnLst>
      <dgm:bg/>
      <dgm:whole/>
    </dgm:dataModel>
  </dgm:clrData>
  <dgm:layoutNode name="hierChild1">
    <dgm:varLst>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primFontSz" for="des" ptType="node" op="equ" val="65"/>
      <dgm:constr type="w" for="des" forName="composite" refType="w"/>
      <dgm:constr type="h" for="des" forName="composite" refType="w" refFor="des" refForName="composite" fact="0.5"/>
      <dgm:constr type="w" for="des" forName="composite2" refType="w" refFor="des" refForName="composite"/>
      <dgm:constr type="h" for="des" forName="composite2" refType="h" refFor="des" refForName="composite"/>
      <dgm:constr type="w" for="des" forName="composite3" refType="w" refFor="des" refForName="composite"/>
      <dgm:constr type="h" for="des" forName="composite3" refType="h" refFor="des" refForName="composite"/>
      <dgm:constr type="w" for="des" forName="composite4" refType="w" refFor="des" refForName="composite"/>
      <dgm:constr type="h" for="des" forName="composite4" refType="h" refFor="des" refForName="composite"/>
      <dgm:constr type="w" for="des" forName="composite5" refType="w" refFor="des" refForName="composite"/>
      <dgm:constr type="h" for="des" forName="composite5" refType="h" refFor="des" refForName="composite"/>
      <dgm:constr type="sibSp" refType="w" refFor="des" refForName="composite" fact="0.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p" for="des" forName="hierRoot1" refType="h" refFor="des" refForName="composite" fact="0.25"/>
      <dgm:constr type="sp" for="des" forName="hierRoot2" refType="sp" refFor="des" refForName="hierRoot1"/>
      <dgm:constr type="sp" for="des" forName="hierRoot3" refType="sp" refFor="des" refForName="hierRoot1"/>
      <dgm:constr type="sp" for="des" forName="hierRoot4" refType="sp" refFor="des" refForName="hierRoot1"/>
      <dgm:constr type="sp" for="des" forName="hierRoot5" refType="sp" refFor="des" refForName="hierRoot1"/>
    </dgm:constrLst>
    <dgm:ruleLst/>
    <dgm:forEach name="Name3" axis="ch">
      <dgm:forEach name="Name4" axis="self" ptType="node">
        <dgm:layoutNode name="hierRoot1">
          <dgm:alg type="hierRoot"/>
          <dgm:shape xmlns:r="http://schemas.openxmlformats.org/officeDocument/2006/relationships" r:blip="">
            <dgm:adjLst/>
          </dgm:shape>
          <dgm:presOf/>
          <dgm:constrLst>
            <dgm:constr type="bendDist" for="des" ptType="parTrans" refType="sp" fact="0.5"/>
          </dgm:constrLst>
          <dgm:ruleLst/>
          <dgm:layoutNode name="composite">
            <dgm:alg type="composite"/>
            <dgm:shape xmlns:r="http://schemas.openxmlformats.org/officeDocument/2006/relationships" r:blip="">
              <dgm:adjLst/>
            </dgm:shape>
            <dgm:presOf/>
            <dgm:constrLst>
              <dgm:constr type="h" for="ch" forName="image" refType="h" fact="0.8"/>
              <dgm:constr type="w" for="ch" forName="image" refType="h" refFor="ch" refForName="image"/>
              <dgm:constr type="t" for="ch" forName="image" refType="h" fact="0.1"/>
              <dgm:constr type="l" for="ch" forName="image"/>
              <dgm:constr type="w" for="ch" forName="text" refType="w" fact="0.6"/>
              <dgm:constr type="h" for="ch" forName="text" refType="h" fact="0.8"/>
              <dgm:constr type="t" for="ch" forName="text" refType="w" fact="0.04"/>
              <dgm:constr type="l" for="ch" forName="text" refType="w" fact="0.4"/>
            </dgm:constrLst>
            <dgm:ruleLst/>
            <dgm:layoutNode name="image" styleLbl="node0">
              <dgm:alg type="sp"/>
              <dgm:shape xmlns:r="http://schemas.openxmlformats.org/officeDocument/2006/relationships" type="ellipse" r:blip="" blipPhldr="1">
                <dgm:adjLst/>
              </dgm:shape>
              <dgm:presOf/>
              <dgm:constrLst/>
              <dgm:ruleLst/>
            </dgm:layoutNode>
            <dgm:layoutNode name="text"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2">
            <dgm:choose name="Name5">
              <dgm:if name="Name6" func="var" arg="dir" op="equ" val="norm">
                <dgm:alg type="hierChild">
                  <dgm:param type="linDir" val="fromL"/>
                </dgm:alg>
              </dgm:if>
              <dgm:else name="Name7">
                <dgm:alg type="hierChild">
                  <dgm:param type="linDir" val="fromR"/>
                </dgm:alg>
              </dgm:else>
            </dgm:choose>
            <dgm:shape xmlns:r="http://schemas.openxmlformats.org/officeDocument/2006/relationships" r:blip="">
              <dgm:adjLst/>
            </dgm:shape>
            <dgm:presOf/>
            <dgm:constrLst/>
            <dgm:ruleLst/>
            <dgm:forEach name="Name8" axis="ch">
              <dgm:forEach name="Name9" axis="self" ptType="parTrans" cnt="1">
                <dgm:layoutNode name="Name10">
                  <dgm:alg type="conn">
                    <dgm:param type="dim" val="1D"/>
                    <dgm:param type="endSty" val="noArr"/>
                    <dgm:param type="connRout" val="bend"/>
                    <dgm:param type="bendPt" val="end"/>
                    <dgm:param type="begPts" val="bCtr"/>
                    <dgm:param type="endPts" val="tCtr"/>
                    <dgm:param type="srcNode" val="image"/>
                    <dgm:param type="dstNode" val="image2"/>
                  </dgm:alg>
                  <dgm:shape xmlns:r="http://schemas.openxmlformats.org/officeDocument/2006/relationships" type="conn" r:blip="" zOrderOff="-999">
                    <dgm:adjLst/>
                  </dgm:shape>
                  <dgm:presOf axis="self"/>
                  <dgm:constrLst>
                    <dgm:constr type="begPad"/>
                    <dgm:constr type="endPad"/>
                  </dgm:constrLst>
                  <dgm:ruleLst/>
                </dgm:layoutNode>
              </dgm:forEach>
              <dgm:forEach name="Name11" axis="self" ptType="node">
                <dgm:layoutNode name="hierRoot2">
                  <dgm:alg type="hierRoot"/>
                  <dgm:shape xmlns:r="http://schemas.openxmlformats.org/officeDocument/2006/relationships" r:blip="">
                    <dgm:adjLst/>
                  </dgm:shape>
                  <dgm:presOf/>
                  <dgm:constrLst>
                    <dgm:constr type="bendDist" for="des" ptType="parTrans" refType="sp" fact="0.5"/>
                  </dgm:constrLst>
                  <dgm:ruleLst/>
                  <dgm:layoutNode name="composite2">
                    <dgm:alg type="composite"/>
                    <dgm:shape xmlns:r="http://schemas.openxmlformats.org/officeDocument/2006/relationships" r:blip="">
                      <dgm:adjLst/>
                    </dgm:shape>
                    <dgm:presOf/>
                    <dgm:constrLst>
                      <dgm:constr type="h" for="ch" forName="image2" refType="h" fact="0.8"/>
                      <dgm:constr type="w" for="ch" forName="image2" refType="h" refFor="ch" refForName="image2"/>
                      <dgm:constr type="t" for="ch" forName="image2" refType="h" fact="0.1"/>
                      <dgm:constr type="l" for="ch" forName="image2"/>
                      <dgm:constr type="w" for="ch" forName="text2" refType="w" fact="0.6"/>
                      <dgm:constr type="h" for="ch" forName="text2" refType="h" fact="0.8"/>
                      <dgm:constr type="t" for="ch" forName="text2" refType="w" fact="0.04"/>
                      <dgm:constr type="l" for="ch" forName="text2" refType="w" fact="0.4"/>
                    </dgm:constrLst>
                    <dgm:ruleLst/>
                    <dgm:layoutNode name="image2">
                      <dgm:alg type="sp"/>
                      <dgm:shape xmlns:r="http://schemas.openxmlformats.org/officeDocument/2006/relationships" type="ellipse" r:blip="" blipPhldr="1">
                        <dgm:adjLst/>
                      </dgm:shape>
                      <dgm:presOf/>
                      <dgm:constrLst/>
                      <dgm:ruleLst/>
                    </dgm:layoutNode>
                    <dgm:layoutNode name="text2"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3">
                    <dgm:choose name="Name12">
                      <dgm:if name="Name13" func="var" arg="dir" op="equ" val="norm">
                        <dgm:alg type="hierChild">
                          <dgm:param type="linDir" val="fromL"/>
                        </dgm:alg>
                      </dgm:if>
                      <dgm:else name="Name14">
                        <dgm:alg type="hierChild">
                          <dgm:param type="linDir" val="fromR"/>
                        </dgm:alg>
                      </dgm:else>
                    </dgm:choose>
                    <dgm:shape xmlns:r="http://schemas.openxmlformats.org/officeDocument/2006/relationships" r:blip="">
                      <dgm:adjLst/>
                    </dgm:shape>
                    <dgm:presOf/>
                    <dgm:constrLst/>
                    <dgm:ruleLst/>
                    <dgm:forEach name="Name15" axis="ch">
                      <dgm:forEach name="Name16" axis="self" ptType="parTrans" cnt="1">
                        <dgm:layoutNode name="Name17">
                          <dgm:alg type="conn">
                            <dgm:param type="dim" val="1D"/>
                            <dgm:param type="endSty" val="noArr"/>
                            <dgm:param type="connRout" val="bend"/>
                            <dgm:param type="bendPt" val="end"/>
                            <dgm:param type="begPts" val="bCtr"/>
                            <dgm:param type="endPts" val="tCtr"/>
                            <dgm:param type="srcNode" val="image2"/>
                            <dgm:param type="dstNode" val="image3"/>
                          </dgm:alg>
                          <dgm:shape xmlns:r="http://schemas.openxmlformats.org/officeDocument/2006/relationships" type="conn" r:blip="" zOrderOff="-999">
                            <dgm:adjLst/>
                          </dgm:shape>
                          <dgm:presOf axis="self"/>
                          <dgm:constrLst>
                            <dgm:constr type="begPad"/>
                            <dgm:constr type="endPad"/>
                          </dgm:constrLst>
                          <dgm:ruleLst/>
                        </dgm:layoutNode>
                      </dgm:forEach>
                      <dgm:forEach name="Name18" axis="self" ptType="node">
                        <dgm:layoutNode name="hierRoot3">
                          <dgm:alg type="hierRoot"/>
                          <dgm:shape xmlns:r="http://schemas.openxmlformats.org/officeDocument/2006/relationships" r:blip="">
                            <dgm:adjLst/>
                          </dgm:shape>
                          <dgm:presOf/>
                          <dgm:constrLst>
                            <dgm:constr type="bendDist" for="des" ptType="parTrans" refType="sp" fact="0.5"/>
                          </dgm:constrLst>
                          <dgm:ruleLst/>
                          <dgm:layoutNode name="composite3">
                            <dgm:alg type="composite"/>
                            <dgm:shape xmlns:r="http://schemas.openxmlformats.org/officeDocument/2006/relationships" r:blip="">
                              <dgm:adjLst/>
                            </dgm:shape>
                            <dgm:presOf/>
                            <dgm:constrLst>
                              <dgm:constr type="h" for="ch" forName="image3" refType="h" fact="0.8"/>
                              <dgm:constr type="w" for="ch" forName="image3" refType="h" refFor="ch" refForName="image3"/>
                              <dgm:constr type="t" for="ch" forName="image3" refType="h" fact="0.1"/>
                              <dgm:constr type="l" for="ch" forName="image3"/>
                              <dgm:constr type="w" for="ch" forName="text3" refType="w" fact="0.6"/>
                              <dgm:constr type="h" for="ch" forName="text3" refType="h" fact="0.8"/>
                              <dgm:constr type="t" for="ch" forName="text3" refType="w" fact="0.04"/>
                              <dgm:constr type="l" for="ch" forName="text3" refType="w" fact="0.4"/>
                            </dgm:constrLst>
                            <dgm:ruleLst/>
                            <dgm:layoutNode name="image3">
                              <dgm:alg type="sp"/>
                              <dgm:shape xmlns:r="http://schemas.openxmlformats.org/officeDocument/2006/relationships" type="ellipse" r:blip="" blipPhldr="1">
                                <dgm:adjLst/>
                              </dgm:shape>
                              <dgm:presOf/>
                              <dgm:constrLst/>
                              <dgm:ruleLst/>
                            </dgm:layoutNode>
                            <dgm:layoutNode name="text3"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4">
                            <dgm:choose name="Name19">
                              <dgm:if name="Name20" func="var" arg="dir" op="equ" val="norm">
                                <dgm:alg type="hierChild">
                                  <dgm:param type="linDir" val="fromL"/>
                                </dgm:alg>
                              </dgm:if>
                              <dgm:else name="Name21">
                                <dgm:alg type="hierChild">
                                  <dgm:param type="linDir" val="fromR"/>
                                </dgm:alg>
                              </dgm:else>
                            </dgm:choose>
                            <dgm:shape xmlns:r="http://schemas.openxmlformats.org/officeDocument/2006/relationships" r:blip="">
                              <dgm:adjLst/>
                            </dgm:shape>
                            <dgm:presOf/>
                            <dgm:constrLst/>
                            <dgm:ruleLst/>
                            <dgm:forEach name="repeat" axis="ch">
                              <dgm:forEach name="Name22" axis="self" ptType="parTrans" cnt="1">
                                <dgm:layoutNode name="Name23">
                                  <dgm:choose name="Name24">
                                    <dgm:if name="Name25" axis="self" func="depth" op="lte" val="4">
                                      <dgm:alg type="conn">
                                        <dgm:param type="dim" val="1D"/>
                                        <dgm:param type="endSty" val="noArr"/>
                                        <dgm:param type="connRout" val="bend"/>
                                        <dgm:param type="bendPt" val="end"/>
                                        <dgm:param type="begPts" val="bCtr"/>
                                        <dgm:param type="endPts" val="tCtr"/>
                                        <dgm:param type="srcNode" val="image3"/>
                                        <dgm:param type="dstNode" val="image4"/>
                                      </dgm:alg>
                                    </dgm:if>
                                    <dgm:else name="Name26">
                                      <dgm:alg type="conn">
                                        <dgm:param type="dim" val="1D"/>
                                        <dgm:param type="endSty" val="noArr"/>
                                        <dgm:param type="connRout" val="bend"/>
                                        <dgm:param type="bendPt" val="end"/>
                                        <dgm:param type="begPts" val="bCtr"/>
                                        <dgm:param type="endPts" val="tCtr"/>
                                        <dgm:param type="srcNode" val="image4"/>
                                        <dgm:param type="dstNode" val="image4"/>
                                      </dgm:alg>
                                    </dgm:else>
                                  </dgm:choose>
                                  <dgm:shape xmlns:r="http://schemas.openxmlformats.org/officeDocument/2006/relationships" type="conn" r:blip="" zOrderOff="-999">
                                    <dgm:adjLst/>
                                  </dgm:shape>
                                  <dgm:presOf axis="self"/>
                                  <dgm:constrLst>
                                    <dgm:constr type="begPad"/>
                                    <dgm:constr type="endPad"/>
                                  </dgm:constrLst>
                                  <dgm:ruleLst/>
                                </dgm:layoutNode>
                              </dgm:forEach>
                              <dgm:forEach name="Name27" axis="self" ptType="node">
                                <dgm:layoutNode name="hierRoot4">
                                  <dgm:alg type="hierRoot"/>
                                  <dgm:shape xmlns:r="http://schemas.openxmlformats.org/officeDocument/2006/relationships" r:blip="">
                                    <dgm:adjLst/>
                                  </dgm:shape>
                                  <dgm:presOf/>
                                  <dgm:constrLst>
                                    <dgm:constr type="bendDist" for="des" ptType="parTrans" refType="sp" fact="0.5"/>
                                  </dgm:constrLst>
                                  <dgm:ruleLst/>
                                  <dgm:layoutNode name="composite4">
                                    <dgm:alg type="composite"/>
                                    <dgm:shape xmlns:r="http://schemas.openxmlformats.org/officeDocument/2006/relationships" r:blip="">
                                      <dgm:adjLst/>
                                    </dgm:shape>
                                    <dgm:presOf/>
                                    <dgm:constrLst>
                                      <dgm:constr type="h" for="ch" forName="image4" refType="h" fact="0.8"/>
                                      <dgm:constr type="w" for="ch" forName="image4" refType="h" refFor="ch" refForName="image4"/>
                                      <dgm:constr type="t" for="ch" forName="image4" refType="h" fact="0.1"/>
                                      <dgm:constr type="l" for="ch" forName="image4"/>
                                      <dgm:constr type="w" for="ch" forName="text4" refType="w" fact="0.6"/>
                                      <dgm:constr type="h" for="ch" forName="text4" refType="h" fact="0.8"/>
                                      <dgm:constr type="t" for="ch" forName="text4" refType="w" fact="0.04"/>
                                      <dgm:constr type="l" for="ch" forName="text4" refType="w" fact="0.4"/>
                                    </dgm:constrLst>
                                    <dgm:ruleLst/>
                                    <dgm:layoutNode name="image4">
                                      <dgm:alg type="sp"/>
                                      <dgm:shape xmlns:r="http://schemas.openxmlformats.org/officeDocument/2006/relationships" type="ellipse" r:blip="" blipPhldr="1">
                                        <dgm:adjLst/>
                                      </dgm:shape>
                                      <dgm:presOf/>
                                      <dgm:constrLst/>
                                      <dgm:ruleLst/>
                                    </dgm:layoutNode>
                                    <dgm:layoutNode name="text4" styleLbl="revTx">
                                      <dgm:varLst>
                                        <dgm:chPref val="3"/>
                                      </dgm:varLst>
                                      <dgm:alg type="tx">
                                        <dgm:param type="parTxLTRAlign" val="l"/>
                                        <dgm:param type="parTxRTLAlign" val="r"/>
                                      </dgm:alg>
                                      <dgm:shape xmlns:r="http://schemas.openxmlformats.org/officeDocument/2006/relationships" type="rect" r:blip="">
                                        <dgm:adjLst/>
                                      </dgm:shape>
                                      <dgm:presOf axis="self"/>
                                      <dgm:constrLst>
                                        <dgm:constr type="tMarg" refType="primFontSz" fact="0.3"/>
                                        <dgm:constr type="bMarg" refType="primFontSz" fact="0.3"/>
                                        <dgm:constr type="lMarg" refType="primFontSz" fact="0.3"/>
                                        <dgm:constr type="rMarg" refType="primFontSz" fact="0.3"/>
                                      </dgm:constrLst>
                                      <dgm:ruleLst>
                                        <dgm:rule type="primFontSz" val="5" fact="NaN" max="NaN"/>
                                      </dgm:ruleLst>
                                    </dgm:layoutNode>
                                  </dgm:layoutNode>
                                  <dgm:layoutNode name="hierChild5">
                                    <dgm:choose name="Name28">
                                      <dgm:if name="Name29" func="var" arg="dir" op="equ" val="norm">
                                        <dgm:alg type="hierChild">
                                          <dgm:param type="linDir" val="fromL"/>
                                        </dgm:alg>
                                      </dgm:if>
                                      <dgm:else name="Name30">
                                        <dgm:alg type="hierChild">
                                          <dgm:param type="linDir" val="fromR"/>
                                        </dgm:alg>
                                      </dgm:else>
                                    </dgm:choose>
                                    <dgm:shape xmlns:r="http://schemas.openxmlformats.org/officeDocument/2006/relationships" r:blip="">
                                      <dgm:adjLst/>
                                    </dgm:shape>
                                    <dgm:presOf/>
                                    <dgm:constrLst/>
                                    <dgm:ruleLst/>
                                    <dgm:forEach name="Name31" ref="repeat"/>
                                  </dgm:layoutNode>
                                </dgm:layoutNode>
                              </dgm:forEach>
                            </dgm:forEach>
                          </dgm:layoutNode>
                        </dgm:layoutNode>
                      </dgm:forEach>
                    </dgm:forEach>
                  </dgm:layoutNode>
                </dgm:layoutNode>
              </dgm:forEach>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8" Type="http://schemas.openxmlformats.org/officeDocument/2006/relationships/chart" Target="../charts/chart5.xml"/><Relationship Id="rId3" Type="http://schemas.openxmlformats.org/officeDocument/2006/relationships/image" Target="../media/image5.emf"/><Relationship Id="rId7" Type="http://schemas.openxmlformats.org/officeDocument/2006/relationships/chart" Target="../charts/chart4.xml"/><Relationship Id="rId2" Type="http://schemas.openxmlformats.org/officeDocument/2006/relationships/chart" Target="../charts/chart1.xml"/><Relationship Id="rId1" Type="http://schemas.openxmlformats.org/officeDocument/2006/relationships/image" Target="../media/image3.png"/><Relationship Id="rId6" Type="http://schemas.openxmlformats.org/officeDocument/2006/relationships/chart" Target="../charts/chart3.xml"/><Relationship Id="rId5" Type="http://schemas.openxmlformats.org/officeDocument/2006/relationships/chart" Target="../charts/chart2.xml"/><Relationship Id="rId4" Type="http://schemas.openxmlformats.org/officeDocument/2006/relationships/image" Target="../media/image6.jpeg"/></Relationships>
</file>

<file path=xl/drawings/_rels/drawing8.xml.rels><?xml version="1.0" encoding="UTF-8" standalone="yes"?>
<Relationships xmlns="http://schemas.openxmlformats.org/package/2006/relationships"><Relationship Id="rId1" Type="http://schemas.openxmlformats.org/officeDocument/2006/relationships/chart" Target="../charts/chart6.xml"/></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1.xml.rels><?xml version="1.0" encoding="UTF-8" standalone="yes"?>
<Relationships xmlns="http://schemas.openxmlformats.org/package/2006/relationships"><Relationship Id="rId3" Type="http://schemas.openxmlformats.org/officeDocument/2006/relationships/diagramQuickStyle" Target="../diagrams/quickStyle1.xml"/><Relationship Id="rId2" Type="http://schemas.openxmlformats.org/officeDocument/2006/relationships/diagramLayout" Target="../diagrams/layout1.xml"/><Relationship Id="rId1" Type="http://schemas.openxmlformats.org/officeDocument/2006/relationships/diagramData" Target="../diagrams/data1.xml"/><Relationship Id="rId5" Type="http://schemas.microsoft.com/office/2007/relationships/diagramDrawing" Target="../diagrams/drawing1.xml"/><Relationship Id="rId4" Type="http://schemas.openxmlformats.org/officeDocument/2006/relationships/diagramColors" Target="../diagrams/colors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7.v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0</xdr:colOff>
          <xdr:row>3</xdr:row>
          <xdr:rowOff>0</xdr:rowOff>
        </xdr:from>
        <xdr:to>
          <xdr:col>17</xdr:col>
          <xdr:colOff>76200</xdr:colOff>
          <xdr:row>39</xdr:row>
          <xdr:rowOff>0</xdr:rowOff>
        </xdr:to>
        <xdr:sp macro="" textlink="">
          <xdr:nvSpPr>
            <xdr:cNvPr id="37889" name="Object 1" hidden="1">
              <a:extLst>
                <a:ext uri="{63B3BB69-23CF-44E3-9099-C40C66FF867C}">
                  <a14:compatExt spid="_x0000_s37889"/>
                </a:ext>
                <a:ext uri="{FF2B5EF4-FFF2-40B4-BE49-F238E27FC236}">
                  <a16:creationId xmlns:a16="http://schemas.microsoft.com/office/drawing/2014/main" id="{00000000-0008-0000-0100-00000194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48491</xdr:colOff>
      <xdr:row>0</xdr:row>
      <xdr:rowOff>51954</xdr:rowOff>
    </xdr:from>
    <xdr:to>
      <xdr:col>30</xdr:col>
      <xdr:colOff>418516</xdr:colOff>
      <xdr:row>59</xdr:row>
      <xdr:rowOff>81643</xdr:rowOff>
    </xdr:to>
    <xdr:grpSp>
      <xdr:nvGrpSpPr>
        <xdr:cNvPr id="2" name="Group 1"/>
        <xdr:cNvGrpSpPr/>
      </xdr:nvGrpSpPr>
      <xdr:grpSpPr>
        <a:xfrm>
          <a:off x="48491" y="51954"/>
          <a:ext cx="16086275" cy="9864252"/>
          <a:chOff x="48491" y="51954"/>
          <a:chExt cx="16372025" cy="10144486"/>
        </a:xfrm>
      </xdr:grpSpPr>
      <xdr:grpSp>
        <xdr:nvGrpSpPr>
          <xdr:cNvPr id="3" name="Group 2"/>
          <xdr:cNvGrpSpPr/>
        </xdr:nvGrpSpPr>
        <xdr:grpSpPr>
          <a:xfrm>
            <a:off x="48491" y="51954"/>
            <a:ext cx="16372025" cy="10144486"/>
            <a:chOff x="0" y="370644"/>
            <a:chExt cx="17134608" cy="9783930"/>
          </a:xfrm>
        </xdr:grpSpPr>
        <xdr:grpSp>
          <xdr:nvGrpSpPr>
            <xdr:cNvPr id="5" name="Group 4"/>
            <xdr:cNvGrpSpPr/>
          </xdr:nvGrpSpPr>
          <xdr:grpSpPr>
            <a:xfrm>
              <a:off x="0" y="370644"/>
              <a:ext cx="17116598" cy="9783930"/>
              <a:chOff x="0" y="370644"/>
              <a:chExt cx="17116598" cy="9783930"/>
            </a:xfrm>
          </xdr:grpSpPr>
          <xdr:sp macro="" textlink="">
            <xdr:nvSpPr>
              <xdr:cNvPr id="7" name="Rectangle 6">
                <a:extLst>
                  <a:ext uri="{FF2B5EF4-FFF2-40B4-BE49-F238E27FC236}">
                    <a16:creationId xmlns:a16="http://schemas.microsoft.com/office/drawing/2014/main" id="{00000000-0008-0000-2000-000002000000}"/>
                  </a:ext>
                </a:extLst>
              </xdr:cNvPr>
              <xdr:cNvSpPr/>
            </xdr:nvSpPr>
            <xdr:spPr>
              <a:xfrm>
                <a:off x="0" y="370644"/>
                <a:ext cx="17116598" cy="9783930"/>
              </a:xfrm>
              <a:prstGeom prst="rect">
                <a:avLst/>
              </a:prstGeom>
              <a:solidFill>
                <a:srgbClr val="0098DB"/>
              </a:solidFill>
              <a:ln>
                <a:noFill/>
              </a:ln>
              <a:effectLst/>
            </xdr:spPr>
            <xdr:style>
              <a:lnRef idx="1">
                <a:schemeClr val="accent1"/>
              </a:lnRef>
              <a:fillRef idx="3">
                <a:schemeClr val="accent1"/>
              </a:fillRef>
              <a:effectRef idx="2">
                <a:schemeClr val="accent1"/>
              </a:effectRef>
              <a:fontRef idx="minor">
                <a:schemeClr val="lt1"/>
              </a:fontRef>
            </xdr:style>
            <xdr:txBody>
              <a:bodyPr wrap="square" rtlCol="0" anchor="ctr"/>
              <a:lstStyle>
                <a:defPPr>
                  <a:defRPr lang="en-US"/>
                </a:defPPr>
                <a:lvl1pPr marL="0" algn="l" defTabSz="457200" rtl="0" eaLnBrk="1" latinLnBrk="0" hangingPunct="1">
                  <a:defRPr sz="1800" kern="1200">
                    <a:solidFill>
                      <a:schemeClr val="lt1"/>
                    </a:solidFill>
                    <a:latin typeface="+mn-lt"/>
                    <a:ea typeface="+mn-ea"/>
                    <a:cs typeface="+mn-cs"/>
                  </a:defRPr>
                </a:lvl1pPr>
                <a:lvl2pPr marL="457200" algn="l" defTabSz="457200" rtl="0" eaLnBrk="1" latinLnBrk="0" hangingPunct="1">
                  <a:defRPr sz="1800" kern="1200">
                    <a:solidFill>
                      <a:schemeClr val="lt1"/>
                    </a:solidFill>
                    <a:latin typeface="+mn-lt"/>
                    <a:ea typeface="+mn-ea"/>
                    <a:cs typeface="+mn-cs"/>
                  </a:defRPr>
                </a:lvl2pPr>
                <a:lvl3pPr marL="914400" algn="l" defTabSz="457200" rtl="0" eaLnBrk="1" latinLnBrk="0" hangingPunct="1">
                  <a:defRPr sz="1800" kern="1200">
                    <a:solidFill>
                      <a:schemeClr val="lt1"/>
                    </a:solidFill>
                    <a:latin typeface="+mn-lt"/>
                    <a:ea typeface="+mn-ea"/>
                    <a:cs typeface="+mn-cs"/>
                  </a:defRPr>
                </a:lvl3pPr>
                <a:lvl4pPr marL="1371600" algn="l" defTabSz="457200" rtl="0" eaLnBrk="1" latinLnBrk="0" hangingPunct="1">
                  <a:defRPr sz="1800" kern="1200">
                    <a:solidFill>
                      <a:schemeClr val="lt1"/>
                    </a:solidFill>
                    <a:latin typeface="+mn-lt"/>
                    <a:ea typeface="+mn-ea"/>
                    <a:cs typeface="+mn-cs"/>
                  </a:defRPr>
                </a:lvl4pPr>
                <a:lvl5pPr marL="1828800" algn="l" defTabSz="457200" rtl="0" eaLnBrk="1" latinLnBrk="0" hangingPunct="1">
                  <a:defRPr sz="1800" kern="1200">
                    <a:solidFill>
                      <a:schemeClr val="lt1"/>
                    </a:solidFill>
                    <a:latin typeface="+mn-lt"/>
                    <a:ea typeface="+mn-ea"/>
                    <a:cs typeface="+mn-cs"/>
                  </a:defRPr>
                </a:lvl5pPr>
                <a:lvl6pPr marL="2286000" algn="l" defTabSz="457200" rtl="0" eaLnBrk="1" latinLnBrk="0" hangingPunct="1">
                  <a:defRPr sz="1800" kern="1200">
                    <a:solidFill>
                      <a:schemeClr val="lt1"/>
                    </a:solidFill>
                    <a:latin typeface="+mn-lt"/>
                    <a:ea typeface="+mn-ea"/>
                    <a:cs typeface="+mn-cs"/>
                  </a:defRPr>
                </a:lvl6pPr>
                <a:lvl7pPr marL="2743200" algn="l" defTabSz="457200" rtl="0" eaLnBrk="1" latinLnBrk="0" hangingPunct="1">
                  <a:defRPr sz="1800" kern="1200">
                    <a:solidFill>
                      <a:schemeClr val="lt1"/>
                    </a:solidFill>
                    <a:latin typeface="+mn-lt"/>
                    <a:ea typeface="+mn-ea"/>
                    <a:cs typeface="+mn-cs"/>
                  </a:defRPr>
                </a:lvl7pPr>
                <a:lvl8pPr marL="3200400" algn="l" defTabSz="457200" rtl="0" eaLnBrk="1" latinLnBrk="0" hangingPunct="1">
                  <a:defRPr sz="1800" kern="1200">
                    <a:solidFill>
                      <a:schemeClr val="lt1"/>
                    </a:solidFill>
                    <a:latin typeface="+mn-lt"/>
                    <a:ea typeface="+mn-ea"/>
                    <a:cs typeface="+mn-cs"/>
                  </a:defRPr>
                </a:lvl8pPr>
                <a:lvl9pPr marL="3657600" algn="l" defTabSz="457200" rtl="0" eaLnBrk="1" latinLnBrk="0" hangingPunct="1">
                  <a:defRPr sz="1800" kern="1200">
                    <a:solidFill>
                      <a:schemeClr val="lt1"/>
                    </a:solidFill>
                    <a:latin typeface="+mn-lt"/>
                    <a:ea typeface="+mn-ea"/>
                    <a:cs typeface="+mn-cs"/>
                  </a:defRPr>
                </a:lvl9pPr>
              </a:lstStyle>
              <a:p>
                <a:pPr algn="ctr"/>
                <a:endParaRPr lang="en-US"/>
              </a:p>
            </xdr:txBody>
          </xdr:sp>
          <xdr:pic>
            <xdr:nvPicPr>
              <xdr:cNvPr id="8" name="Picture 7" descr="esa.png">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509762" y="940359"/>
                <a:ext cx="3349469" cy="1238617"/>
              </a:xfrm>
              <a:prstGeom prst="rect">
                <a:avLst/>
              </a:prstGeom>
            </xdr:spPr>
          </xdr:pic>
          <xdr:grpSp>
            <xdr:nvGrpSpPr>
              <xdr:cNvPr id="9" name="Group 8"/>
              <xdr:cNvGrpSpPr>
                <a:grpSpLocks noChangeAspect="1"/>
              </xdr:cNvGrpSpPr>
            </xdr:nvGrpSpPr>
            <xdr:grpSpPr>
              <a:xfrm>
                <a:off x="1200726" y="802517"/>
                <a:ext cx="2937929" cy="1524000"/>
                <a:chOff x="9020175" y="9034207"/>
                <a:chExt cx="1526176" cy="972344"/>
              </a:xfrm>
            </xdr:grpSpPr>
            <xdr:sp macro="" textlink="">
              <xdr:nvSpPr>
                <xdr:cNvPr id="11" name="Rectangle 10"/>
                <xdr:cNvSpPr/>
              </xdr:nvSpPr>
              <xdr:spPr>
                <a:xfrm>
                  <a:off x="9020175" y="9034207"/>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12" name="Picture 11" descr="CDF Logo.png"/>
                <xdr:cNvPicPr>
                  <a:picLocks noChangeAspect="1"/>
                </xdr:cNvPicPr>
              </xdr:nvPicPr>
              <xdr:blipFill>
                <a:blip xmlns:r="http://schemas.openxmlformats.org/officeDocument/2006/relationships" r:embed="rId2" cstate="print"/>
                <a:stretch>
                  <a:fillRect/>
                </a:stretch>
              </xdr:blipFill>
              <xdr:spPr>
                <a:xfrm>
                  <a:off x="9097001" y="9081833"/>
                  <a:ext cx="1449350" cy="890649"/>
                </a:xfrm>
                <a:prstGeom prst="rect">
                  <a:avLst/>
                </a:prstGeom>
              </xdr:spPr>
            </xdr:pic>
          </xdr:grpSp>
          <xdr:pic>
            <xdr:nvPicPr>
              <xdr:cNvPr id="10" name="Picture 9"/>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3805686" y="8685579"/>
                <a:ext cx="2368019" cy="1062812"/>
              </a:xfrm>
              <a:prstGeom prst="rect">
                <a:avLst/>
              </a:prstGeom>
            </xdr:spPr>
          </xdr:pic>
        </xdr:grpSp>
        <xdr:sp macro="" textlink="">
          <xdr:nvSpPr>
            <xdr:cNvPr id="6" name="TextBox 7">
              <a:extLst>
                <a:ext uri="{FF2B5EF4-FFF2-40B4-BE49-F238E27FC236}">
                  <a16:creationId xmlns:a16="http://schemas.microsoft.com/office/drawing/2014/main" id="{00000000-0008-0000-2000-000006000000}"/>
                </a:ext>
              </a:extLst>
            </xdr:cNvPr>
            <xdr:cNvSpPr txBox="1"/>
          </xdr:nvSpPr>
          <xdr:spPr>
            <a:xfrm>
              <a:off x="18010" y="1392624"/>
              <a:ext cx="17116598" cy="7439392"/>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ctr"/>
              <a:r>
                <a:rPr lang="en-GB" sz="6600" b="1">
                  <a:solidFill>
                    <a:schemeClr val="bg1"/>
                  </a:solidFill>
                </a:rPr>
                <a:t>ESA Academy's</a:t>
              </a:r>
              <a:br>
                <a:rPr lang="en-GB" sz="6600" b="1">
                  <a:solidFill>
                    <a:schemeClr val="bg1"/>
                  </a:solidFill>
                </a:rPr>
              </a:br>
              <a:r>
                <a:rPr lang="en-GB" sz="6600" b="1">
                  <a:solidFill>
                    <a:schemeClr val="bg1"/>
                  </a:solidFill>
                </a:rPr>
                <a:t>Concurrent Engineering Workshop</a:t>
              </a:r>
            </a:p>
            <a:p>
              <a:pPr algn="ctr"/>
              <a:r>
                <a:rPr lang="en-GB" sz="4800" b="1">
                  <a:solidFill>
                    <a:schemeClr val="bg1"/>
                  </a:solidFill>
                </a:rPr>
                <a:t>Calculation Sheet: Thermal</a:t>
              </a:r>
            </a:p>
            <a:p>
              <a:pPr algn="ctr"/>
              <a:endParaRPr lang="en-GB" sz="4800" b="1">
                <a:solidFill>
                  <a:schemeClr val="bg1"/>
                </a:solidFill>
              </a:endParaRPr>
            </a:p>
            <a:p>
              <a:pPr algn="ctr"/>
              <a:r>
                <a:rPr lang="en-GB" sz="3600" b="1">
                  <a:solidFill>
                    <a:schemeClr val="bg1"/>
                  </a:solidFill>
                </a:rPr>
                <a:t>"The ISU/ESA calculation sheets are property of the International Space University (ISU) and European Space Agency (ESA). No part of this material may be reproduced, displayed, amended, distributed or otherwise used in any form or by any means, without written permission of ISU and ESA. Any unauthorised activity or use shall be an infringement of ISU's and ESA's intellectual property rights. ISU and ESA reserve the right to defend their rights and interests, including to seek for remedies."  </a:t>
              </a:r>
            </a:p>
            <a:p>
              <a:pPr algn="ctr"/>
              <a:endParaRPr lang="en-GB" sz="3600" b="1">
                <a:solidFill>
                  <a:schemeClr val="bg1"/>
                </a:solidFill>
              </a:endParaRPr>
            </a:p>
          </xdr:txBody>
        </xdr:sp>
      </xdr:grpSp>
      <xdr:sp macro="" textlink="">
        <xdr:nvSpPr>
          <xdr:cNvPr id="4" name="TextBox 7">
            <a:extLst>
              <a:ext uri="{FF2B5EF4-FFF2-40B4-BE49-F238E27FC236}">
                <a16:creationId xmlns:a16="http://schemas.microsoft.com/office/drawing/2014/main" id="{00000000-0008-0000-2000-000006000000}"/>
              </a:ext>
            </a:extLst>
          </xdr:cNvPr>
          <xdr:cNvSpPr txBox="1"/>
        </xdr:nvSpPr>
        <xdr:spPr>
          <a:xfrm>
            <a:off x="971549" y="8696331"/>
            <a:ext cx="12420601" cy="1047750"/>
          </a:xfrm>
          <a:prstGeom prst="rect">
            <a:avLst/>
          </a:prstGeom>
          <a:noFill/>
        </xdr:spPr>
        <xdr:txBody>
          <a:bodyPr wrap="square" rtlCol="0">
            <a:noAutofit/>
          </a:bodyPr>
          <a:lstStyle>
            <a:defPPr>
              <a:defRPr lang="en-US"/>
            </a:defPPr>
            <a:lvl1pPr marL="0" algn="l" defTabSz="457200" rtl="0" eaLnBrk="1" latinLnBrk="0" hangingPunct="1">
              <a:defRPr sz="1800" kern="1200">
                <a:solidFill>
                  <a:schemeClr val="tx1"/>
                </a:solidFill>
                <a:latin typeface="+mn-lt"/>
                <a:ea typeface="+mn-ea"/>
                <a:cs typeface="+mn-cs"/>
              </a:defRPr>
            </a:lvl1pPr>
            <a:lvl2pPr marL="457200" algn="l" defTabSz="457200" rtl="0" eaLnBrk="1" latinLnBrk="0" hangingPunct="1">
              <a:defRPr sz="1800" kern="1200">
                <a:solidFill>
                  <a:schemeClr val="tx1"/>
                </a:solidFill>
                <a:latin typeface="+mn-lt"/>
                <a:ea typeface="+mn-ea"/>
                <a:cs typeface="+mn-cs"/>
              </a:defRPr>
            </a:lvl2pPr>
            <a:lvl3pPr marL="914400" algn="l" defTabSz="457200" rtl="0" eaLnBrk="1" latinLnBrk="0" hangingPunct="1">
              <a:defRPr sz="1800" kern="1200">
                <a:solidFill>
                  <a:schemeClr val="tx1"/>
                </a:solidFill>
                <a:latin typeface="+mn-lt"/>
                <a:ea typeface="+mn-ea"/>
                <a:cs typeface="+mn-cs"/>
              </a:defRPr>
            </a:lvl3pPr>
            <a:lvl4pPr marL="1371600" algn="l" defTabSz="457200" rtl="0" eaLnBrk="1" latinLnBrk="0" hangingPunct="1">
              <a:defRPr sz="1800" kern="1200">
                <a:solidFill>
                  <a:schemeClr val="tx1"/>
                </a:solidFill>
                <a:latin typeface="+mn-lt"/>
                <a:ea typeface="+mn-ea"/>
                <a:cs typeface="+mn-cs"/>
              </a:defRPr>
            </a:lvl4pPr>
            <a:lvl5pPr marL="1828800" algn="l" defTabSz="457200" rtl="0" eaLnBrk="1" latinLnBrk="0" hangingPunct="1">
              <a:defRPr sz="1800" kern="1200">
                <a:solidFill>
                  <a:schemeClr val="tx1"/>
                </a:solidFill>
                <a:latin typeface="+mn-lt"/>
                <a:ea typeface="+mn-ea"/>
                <a:cs typeface="+mn-cs"/>
              </a:defRPr>
            </a:lvl5pPr>
            <a:lvl6pPr marL="2286000" algn="l" defTabSz="457200" rtl="0" eaLnBrk="1" latinLnBrk="0" hangingPunct="1">
              <a:defRPr sz="1800" kern="1200">
                <a:solidFill>
                  <a:schemeClr val="tx1"/>
                </a:solidFill>
                <a:latin typeface="+mn-lt"/>
                <a:ea typeface="+mn-ea"/>
                <a:cs typeface="+mn-cs"/>
              </a:defRPr>
            </a:lvl6pPr>
            <a:lvl7pPr marL="2743200" algn="l" defTabSz="457200" rtl="0" eaLnBrk="1" latinLnBrk="0" hangingPunct="1">
              <a:defRPr sz="1800" kern="1200">
                <a:solidFill>
                  <a:schemeClr val="tx1"/>
                </a:solidFill>
                <a:latin typeface="+mn-lt"/>
                <a:ea typeface="+mn-ea"/>
                <a:cs typeface="+mn-cs"/>
              </a:defRPr>
            </a:lvl7pPr>
            <a:lvl8pPr marL="3200400" algn="l" defTabSz="457200" rtl="0" eaLnBrk="1" latinLnBrk="0" hangingPunct="1">
              <a:defRPr sz="1800" kern="1200">
                <a:solidFill>
                  <a:schemeClr val="tx1"/>
                </a:solidFill>
                <a:latin typeface="+mn-lt"/>
                <a:ea typeface="+mn-ea"/>
                <a:cs typeface="+mn-cs"/>
              </a:defRPr>
            </a:lvl8pPr>
            <a:lvl9pPr marL="3657600" algn="l" defTabSz="457200" rtl="0" eaLnBrk="1" latinLnBrk="0" hangingPunct="1">
              <a:defRPr sz="1800" kern="1200">
                <a:solidFill>
                  <a:schemeClr val="tx1"/>
                </a:solidFill>
                <a:latin typeface="+mn-lt"/>
                <a:ea typeface="+mn-ea"/>
                <a:cs typeface="+mn-cs"/>
              </a:defRPr>
            </a:lvl9pPr>
          </a:lstStyle>
          <a:p>
            <a:pPr algn="l"/>
            <a:r>
              <a:rPr lang="en-GB" sz="3000" b="1">
                <a:solidFill>
                  <a:schemeClr val="bg1"/>
                </a:solidFill>
              </a:rPr>
              <a:t>The</a:t>
            </a:r>
            <a:r>
              <a:rPr lang="en-GB" sz="3000" b="1" baseline="0">
                <a:solidFill>
                  <a:schemeClr val="bg1"/>
                </a:solidFill>
              </a:rPr>
              <a:t> current version of this calculation sheet was improved in collaboration with the Politecnico di Torino.</a:t>
            </a:r>
            <a:endParaRPr lang="en-GB" sz="3000" b="1">
              <a:solidFill>
                <a:schemeClr val="bg1"/>
              </a:solidFill>
            </a:endParaRP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50800</xdr:rowOff>
    </xdr:from>
    <xdr:to>
      <xdr:col>27</xdr:col>
      <xdr:colOff>457200</xdr:colOff>
      <xdr:row>3</xdr:row>
      <xdr:rowOff>127000</xdr:rowOff>
    </xdr:to>
    <xdr:grpSp>
      <xdr:nvGrpSpPr>
        <xdr:cNvPr id="2" name="Group 1">
          <a:extLst>
            <a:ext uri="{FF2B5EF4-FFF2-40B4-BE49-F238E27FC236}">
              <a16:creationId xmlns:a16="http://schemas.microsoft.com/office/drawing/2014/main" id="{00000000-0008-0000-0300-000002000000}"/>
            </a:ext>
          </a:extLst>
        </xdr:cNvPr>
        <xdr:cNvGrpSpPr>
          <a:grpSpLocks/>
        </xdr:cNvGrpSpPr>
      </xdr:nvGrpSpPr>
      <xdr:grpSpPr bwMode="auto">
        <a:xfrm>
          <a:off x="0" y="50800"/>
          <a:ext cx="15642771" cy="566057"/>
          <a:chOff x="9524" y="0"/>
          <a:chExt cx="14117503" cy="485600"/>
        </a:xfrm>
      </xdr:grpSpPr>
      <xdr:sp macro="" textlink="">
        <xdr:nvSpPr>
          <xdr:cNvPr id="3" name="Rectangle 2">
            <a:extLst>
              <a:ext uri="{FF2B5EF4-FFF2-40B4-BE49-F238E27FC236}">
                <a16:creationId xmlns:a16="http://schemas.microsoft.com/office/drawing/2014/main" id="{00000000-0008-0000-03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900"/>
          </a:p>
        </xdr:txBody>
      </xdr:sp>
      <xdr:sp macro="" textlink="">
        <xdr:nvSpPr>
          <xdr:cNvPr id="4" name="Rectangle 3">
            <a:extLst>
              <a:ext uri="{FF2B5EF4-FFF2-40B4-BE49-F238E27FC236}">
                <a16:creationId xmlns:a16="http://schemas.microsoft.com/office/drawing/2014/main" id="{00000000-0008-0000-0300-000004000000}"/>
              </a:ext>
            </a:extLst>
          </xdr:cNvPr>
          <xdr:cNvSpPr/>
        </xdr:nvSpPr>
        <xdr:spPr>
          <a:xfrm>
            <a:off x="39552"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Thermal </a:t>
            </a:r>
            <a:r>
              <a:rPr lang="en-US" sz="3200" kern="1200" baseline="0">
                <a:latin typeface="+mn-lt"/>
                <a:cs typeface="Times New Roman" pitchFamily="18" charset="0"/>
              </a:rPr>
              <a:t>- Objectives</a:t>
            </a:r>
            <a:endParaRPr lang="en-US" sz="3200" kern="1200">
              <a:latin typeface="+mn-lt"/>
              <a:cs typeface="Times New Roman" pitchFamily="18" charset="0"/>
            </a:endParaRPr>
          </a:p>
        </xdr:txBody>
      </xdr:sp>
    </xdr:grpSp>
    <xdr:clientData/>
  </xdr:twoCellAnchor>
  <xdr:twoCellAnchor>
    <xdr:from>
      <xdr:col>1</xdr:col>
      <xdr:colOff>272142</xdr:colOff>
      <xdr:row>4</xdr:row>
      <xdr:rowOff>108857</xdr:rowOff>
    </xdr:from>
    <xdr:to>
      <xdr:col>27</xdr:col>
      <xdr:colOff>362858</xdr:colOff>
      <xdr:row>36</xdr:row>
      <xdr:rowOff>99785</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830942" y="769257"/>
          <a:ext cx="14619516" cy="5274128"/>
        </a:xfrm>
        <a:prstGeom prst="rect">
          <a:avLst/>
        </a:prstGeom>
        <a:solidFill>
          <a:schemeClr val="accent5">
            <a:lumMod val="20000"/>
            <a:lumOff val="80000"/>
          </a:schemeClr>
        </a:solidFill>
        <a:ln>
          <a:solidFill>
            <a:schemeClr val="accent5"/>
          </a:solidFill>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pPr algn="ctr"/>
          <a:r>
            <a:rPr lang="en-GB" sz="4800"/>
            <a:t>Objectives:</a:t>
          </a:r>
        </a:p>
        <a:p>
          <a:pPr algn="l"/>
          <a:r>
            <a:rPr lang="en-GB" sz="3200">
              <a:sym typeface="Wingdings 3" panose="05040102010807070707" pitchFamily="18" charset="2"/>
            </a:rPr>
            <a:t> To evaluate spacecraft</a:t>
          </a:r>
          <a:r>
            <a:rPr lang="en-GB" sz="3200" baseline="0">
              <a:sym typeface="Wingdings 3" panose="05040102010807070707" pitchFamily="18" charset="2"/>
            </a:rPr>
            <a:t> thermal budget</a:t>
          </a:r>
          <a:endParaRPr lang="en-GB" sz="320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evalaute solar array thermal budget </a:t>
          </a:r>
        </a:p>
        <a:p>
          <a:pPr marL="0" marR="0" lvl="0" indent="0" algn="l" defTabSz="914400" eaLnBrk="1" fontAlgn="auto" latinLnBrk="0" hangingPunct="1">
            <a:lnSpc>
              <a:spcPct val="100000"/>
            </a:lnSpc>
            <a:spcBef>
              <a:spcPts val="0"/>
            </a:spcBef>
            <a:spcAft>
              <a:spcPts val="0"/>
            </a:spcAft>
            <a:buClrTx/>
            <a:buSzTx/>
            <a:buFontTx/>
            <a:buNone/>
            <a:tabLst/>
            <a:defRPr/>
          </a:pPr>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rPr>
            <a:t> To identify thermal critical equipment </a:t>
          </a:r>
          <a:endParaRPr lang="en-GB" sz="3200" baseline="0">
            <a:sym typeface="Wingdings 3" panose="05040102010807070707" pitchFamily="18" charset="2"/>
          </a:endParaRP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Define the thermal equipment ( e.g. MLI, Heaters, Paint)</a:t>
          </a:r>
        </a:p>
        <a:p>
          <a:pPr algn="l"/>
          <a:r>
            <a:rPr lang="en-GB" sz="3200">
              <a:solidFill>
                <a:schemeClr val="dk1"/>
              </a:solidFill>
              <a:effectLst/>
              <a:latin typeface="+mn-lt"/>
              <a:ea typeface="+mn-ea"/>
              <a:cs typeface="+mn-cs"/>
              <a:sym typeface="Wingdings 3" panose="05040102010807070707" pitchFamily="18" charset="2"/>
            </a:rPr>
            <a:t></a:t>
          </a:r>
          <a:r>
            <a:rPr lang="en-GB" sz="3200" baseline="0">
              <a:solidFill>
                <a:schemeClr val="dk1"/>
              </a:solidFill>
              <a:effectLst/>
              <a:latin typeface="+mn-lt"/>
              <a:ea typeface="+mn-ea"/>
              <a:cs typeface="+mn-cs"/>
              <a:sym typeface="Wingdings 3" panose="05040102010807070707" pitchFamily="18" charset="2"/>
            </a:rPr>
            <a:t> To help configuration with the placement of equipment accrding to  thermal requirement</a:t>
          </a:r>
        </a:p>
        <a:p>
          <a:pPr marL="0" marR="0" lvl="0" indent="0" algn="l" defTabSz="914400" eaLnBrk="1" fontAlgn="auto" latinLnBrk="0" hangingPunct="1">
            <a:lnSpc>
              <a:spcPct val="100000"/>
            </a:lnSpc>
            <a:spcBef>
              <a:spcPts val="0"/>
            </a:spcBef>
            <a:spcAft>
              <a:spcPts val="0"/>
            </a:spcAft>
            <a:buClrTx/>
            <a:buSzTx/>
            <a:buFontTx/>
            <a:buNone/>
            <a:tabLst/>
            <a:defRPr/>
          </a:pPr>
          <a:endParaRPr lang="en-GB" sz="3200">
            <a:effectLst/>
          </a:endParaRPr>
        </a:p>
        <a:p>
          <a:pPr algn="l"/>
          <a:endParaRPr lang="en-GB" sz="3200" baseline="0">
            <a:solidFill>
              <a:schemeClr val="dk1"/>
            </a:solidFill>
            <a:effectLst/>
            <a:latin typeface="+mn-lt"/>
            <a:ea typeface="+mn-ea"/>
            <a:cs typeface="+mn-cs"/>
            <a:sym typeface="Wingdings 3" panose="05040102010807070707" pitchFamily="18" charset="2"/>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28120</xdr:rowOff>
    </xdr:from>
    <xdr:to>
      <xdr:col>10</xdr:col>
      <xdr:colOff>425822</xdr:colOff>
      <xdr:row>2</xdr:row>
      <xdr:rowOff>126999</xdr:rowOff>
    </xdr:to>
    <xdr:grpSp>
      <xdr:nvGrpSpPr>
        <xdr:cNvPr id="2" name="Group 1">
          <a:extLst>
            <a:ext uri="{FF2B5EF4-FFF2-40B4-BE49-F238E27FC236}">
              <a16:creationId xmlns:a16="http://schemas.microsoft.com/office/drawing/2014/main" id="{00000000-0008-0000-0400-000002000000}"/>
            </a:ext>
          </a:extLst>
        </xdr:cNvPr>
        <xdr:cNvGrpSpPr/>
      </xdr:nvGrpSpPr>
      <xdr:grpSpPr>
        <a:xfrm>
          <a:off x="0" y="28120"/>
          <a:ext cx="12094881" cy="427585"/>
          <a:chOff x="9524" y="0"/>
          <a:chExt cx="14087475" cy="485600"/>
        </a:xfrm>
      </xdr:grpSpPr>
      <xdr:sp macro="" textlink="">
        <xdr:nvSpPr>
          <xdr:cNvPr id="3" name="Rectangle 2">
            <a:extLst>
              <a:ext uri="{FF2B5EF4-FFF2-40B4-BE49-F238E27FC236}">
                <a16:creationId xmlns:a16="http://schemas.microsoft.com/office/drawing/2014/main" id="{00000000-0008-0000-04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4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Thermal Subsystem - Thermal Budget OCDT</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14653</xdr:colOff>
      <xdr:row>0</xdr:row>
      <xdr:rowOff>29751</xdr:rowOff>
    </xdr:from>
    <xdr:to>
      <xdr:col>12</xdr:col>
      <xdr:colOff>139700</xdr:colOff>
      <xdr:row>2</xdr:row>
      <xdr:rowOff>53730</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14653" y="29751"/>
          <a:ext cx="13491797" cy="354179"/>
          <a:chOff x="9524" y="0"/>
          <a:chExt cx="14087475" cy="485600"/>
        </a:xfrm>
      </xdr:grpSpPr>
      <xdr:sp macro="" textlink="">
        <xdr:nvSpPr>
          <xdr:cNvPr id="3" name="Rectangle 2">
            <a:extLst>
              <a:ext uri="{FF2B5EF4-FFF2-40B4-BE49-F238E27FC236}">
                <a16:creationId xmlns:a16="http://schemas.microsoft.com/office/drawing/2014/main" id="{00000000-0008-0000-05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500-000004000000}"/>
              </a:ext>
            </a:extLst>
          </xdr:cNvPr>
          <xdr:cNvSpPr/>
        </xdr:nvSpPr>
        <xdr:spPr>
          <a:xfrm>
            <a:off x="9524" y="0"/>
            <a:ext cx="14087475" cy="385814"/>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Thermal</a:t>
            </a:r>
            <a:r>
              <a:rPr lang="en-US" sz="2200" kern="1200" baseline="0"/>
              <a:t> Control Subsystem Budgets</a:t>
            </a:r>
            <a:endParaRPr lang="en-US" sz="2200" kern="1200"/>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114301</xdr:colOff>
      <xdr:row>0</xdr:row>
      <xdr:rowOff>95250</xdr:rowOff>
    </xdr:from>
    <xdr:to>
      <xdr:col>24</xdr:col>
      <xdr:colOff>698500</xdr:colOff>
      <xdr:row>1</xdr:row>
      <xdr:rowOff>0</xdr:rowOff>
    </xdr:to>
    <xdr:grpSp>
      <xdr:nvGrpSpPr>
        <xdr:cNvPr id="2" name="Group 1">
          <a:extLst>
            <a:ext uri="{FF2B5EF4-FFF2-40B4-BE49-F238E27FC236}">
              <a16:creationId xmlns:a16="http://schemas.microsoft.com/office/drawing/2014/main" id="{00000000-0008-0000-0600-000002000000}"/>
            </a:ext>
          </a:extLst>
        </xdr:cNvPr>
        <xdr:cNvGrpSpPr/>
      </xdr:nvGrpSpPr>
      <xdr:grpSpPr>
        <a:xfrm>
          <a:off x="114301" y="95250"/>
          <a:ext cx="22686281" cy="421821"/>
          <a:chOff x="9524" y="0"/>
          <a:chExt cx="14087475" cy="485600"/>
        </a:xfrm>
      </xdr:grpSpPr>
      <xdr:sp macro="" textlink="">
        <xdr:nvSpPr>
          <xdr:cNvPr id="3" name="Rectangle 2">
            <a:extLst>
              <a:ext uri="{FF2B5EF4-FFF2-40B4-BE49-F238E27FC236}">
                <a16:creationId xmlns:a16="http://schemas.microsoft.com/office/drawing/2014/main" id="{00000000-0008-0000-06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6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Thermal</a:t>
            </a:r>
            <a:r>
              <a:rPr lang="en-US" sz="2200" kern="1200" baseline="0"/>
              <a:t> Control Subsystem Analysis</a:t>
            </a:r>
            <a:endParaRPr lang="en-US" sz="2200" kern="1200"/>
          </a:p>
        </xdr:txBody>
      </xdr:sp>
    </xdr:grpSp>
    <xdr:clientData/>
  </xdr:twoCellAnchor>
  <xdr:twoCellAnchor>
    <xdr:from>
      <xdr:col>24</xdr:col>
      <xdr:colOff>31379</xdr:colOff>
      <xdr:row>0</xdr:row>
      <xdr:rowOff>168276</xdr:rowOff>
    </xdr:from>
    <xdr:to>
      <xdr:col>24</xdr:col>
      <xdr:colOff>655689</xdr:colOff>
      <xdr:row>0</xdr:row>
      <xdr:rowOff>492126</xdr:rowOff>
    </xdr:to>
    <xdr:grpSp>
      <xdr:nvGrpSpPr>
        <xdr:cNvPr id="5" name="Group 4">
          <a:extLst>
            <a:ext uri="{FF2B5EF4-FFF2-40B4-BE49-F238E27FC236}">
              <a16:creationId xmlns:a16="http://schemas.microsoft.com/office/drawing/2014/main" id="{00000000-0008-0000-0600-000005000000}"/>
            </a:ext>
          </a:extLst>
        </xdr:cNvPr>
        <xdr:cNvGrpSpPr>
          <a:grpSpLocks noChangeAspect="1"/>
        </xdr:cNvGrpSpPr>
      </xdr:nvGrpSpPr>
      <xdr:grpSpPr>
        <a:xfrm>
          <a:off x="22142986" y="168276"/>
          <a:ext cx="624310" cy="323850"/>
          <a:chOff x="9020175" y="9163050"/>
          <a:chExt cx="1526176" cy="972344"/>
        </a:xfrm>
      </xdr:grpSpPr>
      <xdr:sp macro="" textlink="">
        <xdr:nvSpPr>
          <xdr:cNvPr id="6" name="Rectangle 5">
            <a:extLst>
              <a:ext uri="{FF2B5EF4-FFF2-40B4-BE49-F238E27FC236}">
                <a16:creationId xmlns:a16="http://schemas.microsoft.com/office/drawing/2014/main" id="{00000000-0008-0000-06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twoCellAnchor>
    <xdr:from>
      <xdr:col>1</xdr:col>
      <xdr:colOff>9524</xdr:colOff>
      <xdr:row>49</xdr:row>
      <xdr:rowOff>0</xdr:rowOff>
    </xdr:from>
    <xdr:to>
      <xdr:col>10</xdr:col>
      <xdr:colOff>0</xdr:colOff>
      <xdr:row>67</xdr:row>
      <xdr:rowOff>0</xdr:rowOff>
    </xdr:to>
    <xdr:graphicFrame macro="">
      <xdr:nvGraphicFramePr>
        <xdr:cNvPr id="8" name="Chart 7">
          <a:extLst>
            <a:ext uri="{FF2B5EF4-FFF2-40B4-BE49-F238E27FC236}">
              <a16:creationId xmlns:a16="http://schemas.microsoft.com/office/drawing/2014/main" id="{00000000-0008-0000-06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mc:AlternateContent xmlns:mc="http://schemas.openxmlformats.org/markup-compatibility/2006">
    <mc:Choice xmlns:a14="http://schemas.microsoft.com/office/drawing/2010/main" Requires="a14">
      <xdr:twoCellAnchor>
        <xdr:from>
          <xdr:col>14</xdr:col>
          <xdr:colOff>438150</xdr:colOff>
          <xdr:row>5</xdr:row>
          <xdr:rowOff>47625</xdr:rowOff>
        </xdr:from>
        <xdr:to>
          <xdr:col>16</xdr:col>
          <xdr:colOff>542925</xdr:colOff>
          <xdr:row>6</xdr:row>
          <xdr:rowOff>142875</xdr:rowOff>
        </xdr:to>
        <xdr:sp macro="" textlink="">
          <xdr:nvSpPr>
            <xdr:cNvPr id="3107" name="Button 35" hidden="1">
              <a:extLst>
                <a:ext uri="{63B3BB69-23CF-44E3-9099-C40C66FF867C}">
                  <a14:compatExt spid="_x0000_s3107"/>
                </a:ext>
                <a:ext uri="{FF2B5EF4-FFF2-40B4-BE49-F238E27FC236}">
                  <a16:creationId xmlns:a16="http://schemas.microsoft.com/office/drawing/2014/main" id="{00000000-0008-0000-0600-00002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Explore Tmax variation</a:t>
              </a:r>
            </a:p>
          </xdr:txBody>
        </xdr:sp>
        <xdr:clientData fPrintsWithSheet="0"/>
      </xdr:twoCellAnchor>
    </mc:Choice>
    <mc:Fallback/>
  </mc:AlternateContent>
  <xdr:twoCellAnchor editAs="oneCell">
    <xdr:from>
      <xdr:col>11</xdr:col>
      <xdr:colOff>81642</xdr:colOff>
      <xdr:row>34</xdr:row>
      <xdr:rowOff>25564</xdr:rowOff>
    </xdr:from>
    <xdr:to>
      <xdr:col>18</xdr:col>
      <xdr:colOff>435429</xdr:colOff>
      <xdr:row>48</xdr:row>
      <xdr:rowOff>63705</xdr:rowOff>
    </xdr:to>
    <xdr:pic>
      <xdr:nvPicPr>
        <xdr:cNvPr id="14" name="Picture 78">
          <a:extLst>
            <a:ext uri="{FF2B5EF4-FFF2-40B4-BE49-F238E27FC236}">
              <a16:creationId xmlns:a16="http://schemas.microsoft.com/office/drawing/2014/main" id="{00000000-0008-0000-0600-00000E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5203713" y="6221350"/>
          <a:ext cx="4481287" cy="2451141"/>
        </a:xfrm>
        <a:prstGeom prst="rect">
          <a:avLst/>
        </a:prstGeom>
        <a:noFill/>
      </xdr:spPr>
    </xdr:pic>
    <xdr:clientData/>
  </xdr:twoCellAnchor>
  <mc:AlternateContent xmlns:mc="http://schemas.openxmlformats.org/markup-compatibility/2006">
    <mc:Choice xmlns:a14="http://schemas.microsoft.com/office/drawing/2010/main" Requires="a14">
      <xdr:twoCellAnchor>
        <xdr:from>
          <xdr:col>17</xdr:col>
          <xdr:colOff>9525</xdr:colOff>
          <xdr:row>5</xdr:row>
          <xdr:rowOff>38100</xdr:rowOff>
        </xdr:from>
        <xdr:to>
          <xdr:col>19</xdr:col>
          <xdr:colOff>209550</xdr:colOff>
          <xdr:row>6</xdr:row>
          <xdr:rowOff>142875</xdr:rowOff>
        </xdr:to>
        <xdr:sp macro="" textlink="">
          <xdr:nvSpPr>
            <xdr:cNvPr id="3119" name="Button 47" hidden="1">
              <a:extLst>
                <a:ext uri="{63B3BB69-23CF-44E3-9099-C40C66FF867C}">
                  <a14:compatExt spid="_x0000_s3119"/>
                </a:ext>
                <a:ext uri="{FF2B5EF4-FFF2-40B4-BE49-F238E27FC236}">
                  <a16:creationId xmlns:a16="http://schemas.microsoft.com/office/drawing/2014/main" id="{00000000-0008-0000-0600-00002F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Explore Tmin Variation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266700</xdr:colOff>
          <xdr:row>5</xdr:row>
          <xdr:rowOff>38100</xdr:rowOff>
        </xdr:from>
        <xdr:to>
          <xdr:col>22</xdr:col>
          <xdr:colOff>581025</xdr:colOff>
          <xdr:row>6</xdr:row>
          <xdr:rowOff>142875</xdr:rowOff>
        </xdr:to>
        <xdr:sp macro="" textlink="">
          <xdr:nvSpPr>
            <xdr:cNvPr id="3120" name="Button 48" hidden="1">
              <a:extLst>
                <a:ext uri="{63B3BB69-23CF-44E3-9099-C40C66FF867C}">
                  <a14:compatExt spid="_x0000_s3120"/>
                </a:ext>
                <a:ext uri="{FF2B5EF4-FFF2-40B4-BE49-F238E27FC236}">
                  <a16:creationId xmlns:a16="http://schemas.microsoft.com/office/drawing/2014/main" id="{00000000-0008-0000-0600-000030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Evaluate Eclipse Temperature vs eps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66675</xdr:colOff>
          <xdr:row>5</xdr:row>
          <xdr:rowOff>47625</xdr:rowOff>
        </xdr:from>
        <xdr:to>
          <xdr:col>14</xdr:col>
          <xdr:colOff>342900</xdr:colOff>
          <xdr:row>6</xdr:row>
          <xdr:rowOff>142875</xdr:rowOff>
        </xdr:to>
        <xdr:sp macro="" textlink="">
          <xdr:nvSpPr>
            <xdr:cNvPr id="3121" name="Button 49" hidden="1">
              <a:extLst>
                <a:ext uri="{63B3BB69-23CF-44E3-9099-C40C66FF867C}">
                  <a14:compatExt spid="_x0000_s3121"/>
                </a:ext>
                <a:ext uri="{FF2B5EF4-FFF2-40B4-BE49-F238E27FC236}">
                  <a16:creationId xmlns:a16="http://schemas.microsoft.com/office/drawing/2014/main" id="{00000000-0008-0000-0600-000031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Update all graphs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600075</xdr:colOff>
          <xdr:row>5</xdr:row>
          <xdr:rowOff>66675</xdr:rowOff>
        </xdr:from>
        <xdr:to>
          <xdr:col>24</xdr:col>
          <xdr:colOff>685800</xdr:colOff>
          <xdr:row>6</xdr:row>
          <xdr:rowOff>142875</xdr:rowOff>
        </xdr:to>
        <xdr:sp macro="" textlink="">
          <xdr:nvSpPr>
            <xdr:cNvPr id="3122" name="Button 50" hidden="1">
              <a:extLst>
                <a:ext uri="{63B3BB69-23CF-44E3-9099-C40C66FF867C}">
                  <a14:compatExt spid="_x0000_s3122"/>
                </a:ext>
                <a:ext uri="{FF2B5EF4-FFF2-40B4-BE49-F238E27FC236}">
                  <a16:creationId xmlns:a16="http://schemas.microsoft.com/office/drawing/2014/main" id="{00000000-0008-0000-0600-00003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Evaluate Eclipse TCS Temperature </a:t>
              </a:r>
            </a:p>
          </xdr:txBody>
        </xdr:sp>
        <xdr:clientData fPrintsWithSheet="0"/>
      </xdr:twoCellAnchor>
    </mc:Choice>
    <mc:Fallback/>
  </mc:AlternateContent>
  <xdr:twoCellAnchor editAs="oneCell">
    <xdr:from>
      <xdr:col>19</xdr:col>
      <xdr:colOff>176894</xdr:colOff>
      <xdr:row>33</xdr:row>
      <xdr:rowOff>150607</xdr:rowOff>
    </xdr:from>
    <xdr:to>
      <xdr:col>24</xdr:col>
      <xdr:colOff>635000</xdr:colOff>
      <xdr:row>48</xdr:row>
      <xdr:rowOff>111126</xdr:rowOff>
    </xdr:to>
    <xdr:pic>
      <xdr:nvPicPr>
        <xdr:cNvPr id="24" name="Picture 2">
          <a:extLst>
            <a:ext uri="{FF2B5EF4-FFF2-40B4-BE49-F238E27FC236}">
              <a16:creationId xmlns:a16="http://schemas.microsoft.com/office/drawing/2014/main" id="{00000000-0008-0000-0600-000018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20735019" y="6230732"/>
          <a:ext cx="4347481" cy="2579894"/>
        </a:xfrm>
        <a:prstGeom prst="rect">
          <a:avLst/>
        </a:prstGeom>
        <a:noFill/>
        <a:ln w="1">
          <a:noFill/>
          <a:miter lim="800000"/>
          <a:headEnd/>
          <a:tailEnd/>
        </a:ln>
        <a:effectLst/>
      </xdr:spPr>
    </xdr:pic>
    <xdr:clientData/>
  </xdr:twoCellAnchor>
  <xdr:twoCellAnchor>
    <xdr:from>
      <xdr:col>19</xdr:col>
      <xdr:colOff>0</xdr:colOff>
      <xdr:row>49</xdr:row>
      <xdr:rowOff>0</xdr:rowOff>
    </xdr:from>
    <xdr:to>
      <xdr:col>25</xdr:col>
      <xdr:colOff>0</xdr:colOff>
      <xdr:row>67</xdr:row>
      <xdr:rowOff>0</xdr:rowOff>
    </xdr:to>
    <xdr:graphicFrame macro="">
      <xdr:nvGraphicFramePr>
        <xdr:cNvPr id="13" name="epschartcontrolled">
          <a:extLst>
            <a:ext uri="{FF2B5EF4-FFF2-40B4-BE49-F238E27FC236}">
              <a16:creationId xmlns:a16="http://schemas.microsoft.com/office/drawing/2014/main" id="{00000000-0008-0000-0600-00000D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0</xdr:colOff>
      <xdr:row>49</xdr:row>
      <xdr:rowOff>0</xdr:rowOff>
    </xdr:from>
    <xdr:to>
      <xdr:col>19</xdr:col>
      <xdr:colOff>0</xdr:colOff>
      <xdr:row>67</xdr:row>
      <xdr:rowOff>0</xdr:rowOff>
    </xdr:to>
    <xdr:graphicFrame macro="">
      <xdr:nvGraphicFramePr>
        <xdr:cNvPr id="15" name="eps(jj)chart">
          <a:extLst>
            <a:ext uri="{FF2B5EF4-FFF2-40B4-BE49-F238E27FC236}">
              <a16:creationId xmlns:a16="http://schemas.microsoft.com/office/drawing/2014/main" id="{00000000-0008-0000-0600-00000F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19</xdr:col>
      <xdr:colOff>0</xdr:colOff>
      <xdr:row>9</xdr:row>
      <xdr:rowOff>0</xdr:rowOff>
    </xdr:from>
    <xdr:to>
      <xdr:col>25</xdr:col>
      <xdr:colOff>0</xdr:colOff>
      <xdr:row>29</xdr:row>
      <xdr:rowOff>0</xdr:rowOff>
    </xdr:to>
    <xdr:graphicFrame macro="">
      <xdr:nvGraphicFramePr>
        <xdr:cNvPr id="11" name="MyChartMin">
          <a:extLst>
            <a:ext uri="{FF2B5EF4-FFF2-40B4-BE49-F238E27FC236}">
              <a16:creationId xmlns:a16="http://schemas.microsoft.com/office/drawing/2014/main" id="{00000000-0008-0000-0600-00000B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0</xdr:colOff>
      <xdr:row>9</xdr:row>
      <xdr:rowOff>0</xdr:rowOff>
    </xdr:from>
    <xdr:to>
      <xdr:col>19</xdr:col>
      <xdr:colOff>0</xdr:colOff>
      <xdr:row>29</xdr:row>
      <xdr:rowOff>0</xdr:rowOff>
    </xdr:to>
    <xdr:graphicFrame macro="">
      <xdr:nvGraphicFramePr>
        <xdr:cNvPr id="12" name="MyChart">
          <a:extLst>
            <a:ext uri="{FF2B5EF4-FFF2-40B4-BE49-F238E27FC236}">
              <a16:creationId xmlns:a16="http://schemas.microsoft.com/office/drawing/2014/main" id="{00000000-0008-0000-0600-00000C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0.11573</cdr:x>
      <cdr:y>0.46046</cdr:y>
    </cdr:from>
    <cdr:to>
      <cdr:x>0.2179</cdr:x>
      <cdr:y>0.53925</cdr:y>
    </cdr:to>
    <cdr:sp macro="" textlink="">
      <cdr:nvSpPr>
        <cdr:cNvPr id="2" name="TextBox 1"/>
        <cdr:cNvSpPr txBox="1"/>
      </cdr:nvSpPr>
      <cdr:spPr>
        <a:xfrm xmlns:a="http://schemas.openxmlformats.org/drawingml/2006/main">
          <a:off x="1492891" y="1383022"/>
          <a:ext cx="1317996" cy="2366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pPr algn="ctr"/>
          <a:r>
            <a:rPr lang="en-US" sz="1100" b="1"/>
            <a:t>Batteries</a:t>
          </a:r>
        </a:p>
      </cdr:txBody>
    </cdr:sp>
  </cdr:relSizeAnchor>
  <cdr:relSizeAnchor xmlns:cdr="http://schemas.openxmlformats.org/drawingml/2006/chartDrawing">
    <cdr:from>
      <cdr:x>0.25258</cdr:x>
      <cdr:y>0.37167</cdr:y>
    </cdr:from>
    <cdr:to>
      <cdr:x>0.37135</cdr:x>
      <cdr:y>0.45045</cdr:y>
    </cdr:to>
    <cdr:sp macro="" textlink="">
      <cdr:nvSpPr>
        <cdr:cNvPr id="3" name="TextBox 1"/>
        <cdr:cNvSpPr txBox="1"/>
      </cdr:nvSpPr>
      <cdr:spPr>
        <a:xfrm xmlns:a="http://schemas.openxmlformats.org/drawingml/2006/main">
          <a:off x="3258347" y="1116344"/>
          <a:ext cx="1532136" cy="23661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100" b="1"/>
            <a:t>Electronics</a:t>
          </a:r>
        </a:p>
      </cdr:txBody>
    </cdr:sp>
  </cdr:relSizeAnchor>
  <cdr:relSizeAnchor xmlns:cdr="http://schemas.openxmlformats.org/drawingml/2006/chartDrawing">
    <cdr:from>
      <cdr:x>0.40211</cdr:x>
      <cdr:y>0.269</cdr:y>
    </cdr:from>
    <cdr:to>
      <cdr:x>0.52088</cdr:x>
      <cdr:y>0.34778</cdr:y>
    </cdr:to>
    <cdr:sp macro="" textlink="">
      <cdr:nvSpPr>
        <cdr:cNvPr id="4" name="TextBox 1"/>
        <cdr:cNvSpPr txBox="1"/>
      </cdr:nvSpPr>
      <cdr:spPr>
        <a:xfrm xmlns:a="http://schemas.openxmlformats.org/drawingml/2006/main">
          <a:off x="5187261" y="807944"/>
          <a:ext cx="1532136" cy="23662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100" b="1"/>
            <a:t>Propellant</a:t>
          </a:r>
        </a:p>
      </cdr:txBody>
    </cdr:sp>
  </cdr:relSizeAnchor>
  <cdr:relSizeAnchor xmlns:cdr="http://schemas.openxmlformats.org/drawingml/2006/chartDrawing">
    <cdr:from>
      <cdr:x>0.54892</cdr:x>
      <cdr:y>0.33312</cdr:y>
    </cdr:from>
    <cdr:to>
      <cdr:x>0.66183</cdr:x>
      <cdr:y>0.39535</cdr:y>
    </cdr:to>
    <cdr:sp macro="" textlink="">
      <cdr:nvSpPr>
        <cdr:cNvPr id="5" name="TextBox 1"/>
        <cdr:cNvSpPr txBox="1"/>
      </cdr:nvSpPr>
      <cdr:spPr>
        <a:xfrm xmlns:a="http://schemas.openxmlformats.org/drawingml/2006/main">
          <a:off x="7081111" y="1000552"/>
          <a:ext cx="1456466" cy="186898"/>
        </a:xfrm>
        <a:prstGeom xmlns:a="http://schemas.openxmlformats.org/drawingml/2006/main" prst="rect">
          <a:avLst/>
        </a:prstGeom>
        <a:noFill xmlns:a="http://schemas.openxmlformats.org/drawingml/2006/main"/>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en-US" sz="1100" b="1"/>
            <a:t>Attitude Control Components</a:t>
          </a:r>
        </a:p>
      </cdr:txBody>
    </cdr:sp>
  </cdr:relSizeAnchor>
  <cdr:relSizeAnchor xmlns:cdr="http://schemas.openxmlformats.org/drawingml/2006/chartDrawing">
    <cdr:from>
      <cdr:x>0.69256</cdr:x>
      <cdr:y>0.06006</cdr:y>
    </cdr:from>
    <cdr:to>
      <cdr:x>0.80525</cdr:x>
      <cdr:y>0.93694</cdr:y>
    </cdr:to>
    <cdr:sp macro="" textlink="">
      <cdr:nvSpPr>
        <cdr:cNvPr id="8" name="Rectangle 7"/>
        <cdr:cNvSpPr/>
      </cdr:nvSpPr>
      <cdr:spPr>
        <a:xfrm xmlns:a="http://schemas.openxmlformats.org/drawingml/2006/main">
          <a:off x="6029326" y="190500"/>
          <a:ext cx="981075" cy="2781300"/>
        </a:xfrm>
        <a:prstGeom xmlns:a="http://schemas.openxmlformats.org/drawingml/2006/main" prst="rect">
          <a:avLst/>
        </a:prstGeom>
        <a:noFill xmlns:a="http://schemas.openxmlformats.org/drawingml/2006/main"/>
        <a:ln xmlns:a="http://schemas.openxmlformats.org/drawingml/2006/main">
          <a:solidFill>
            <a:srgbClr val="C00000"/>
          </a:solidFill>
        </a:ln>
      </cdr:spPr>
      <cdr:style>
        <a:lnRef xmlns:a="http://schemas.openxmlformats.org/drawingml/2006/main" idx="2">
          <a:schemeClr val="accent1">
            <a:shade val="50000"/>
          </a:schemeClr>
        </a:lnRef>
        <a:fillRef xmlns:a="http://schemas.openxmlformats.org/drawingml/2006/main" idx="1">
          <a:schemeClr val="accent1"/>
        </a:fillRef>
        <a:effectRef xmlns:a="http://schemas.openxmlformats.org/drawingml/2006/main" idx="0">
          <a:schemeClr val="accent1"/>
        </a:effectRef>
        <a:fontRef xmlns:a="http://schemas.openxmlformats.org/drawingml/2006/main" idx="minor">
          <a:schemeClr val="lt1"/>
        </a:fontRef>
      </cdr:style>
      <cdr:txBody>
        <a:bodyPr xmlns:a="http://schemas.openxmlformats.org/drawingml/2006/main" vertOverflow="clip"/>
        <a:lstStyle xmlns:a="http://schemas.openxmlformats.org/drawingml/2006/main"/>
        <a:p xmlns:a="http://schemas.openxmlformats.org/drawingml/2006/main">
          <a:endParaRPr lang="fr-FR"/>
        </a:p>
      </cdr:txBody>
    </cdr:sp>
  </cdr:relSizeAnchor>
</c:userShapes>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47625</xdr:colOff>
          <xdr:row>3</xdr:row>
          <xdr:rowOff>161925</xdr:rowOff>
        </xdr:from>
        <xdr:to>
          <xdr:col>1</xdr:col>
          <xdr:colOff>247650</xdr:colOff>
          <xdr:row>5</xdr:row>
          <xdr:rowOff>47625</xdr:rowOff>
        </xdr:to>
        <xdr:sp macro="" textlink="">
          <xdr:nvSpPr>
            <xdr:cNvPr id="39937" name="Button 1" hidden="1">
              <a:extLst>
                <a:ext uri="{63B3BB69-23CF-44E3-9099-C40C66FF867C}">
                  <a14:compatExt spid="_x0000_s39937"/>
                </a:ext>
                <a:ext uri="{FF2B5EF4-FFF2-40B4-BE49-F238E27FC236}">
                  <a16:creationId xmlns:a16="http://schemas.microsoft.com/office/drawing/2014/main" id="{00000000-0008-0000-0700-0000019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Times New Roman"/>
                  <a:cs typeface="Times New Roman"/>
                </a:rPr>
                <a:t>Evaluate</a:t>
              </a:r>
            </a:p>
          </xdr:txBody>
        </xdr:sp>
        <xdr:clientData fPrintsWithSheet="0"/>
      </xdr:twoCellAnchor>
    </mc:Choice>
    <mc:Fallback/>
  </mc:AlternateContent>
  <xdr:twoCellAnchor>
    <xdr:from>
      <xdr:col>4</xdr:col>
      <xdr:colOff>0</xdr:colOff>
      <xdr:row>0</xdr:row>
      <xdr:rowOff>0</xdr:rowOff>
    </xdr:from>
    <xdr:to>
      <xdr:col>12</xdr:col>
      <xdr:colOff>0</xdr:colOff>
      <xdr:row>15</xdr:row>
      <xdr:rowOff>0</xdr:rowOff>
    </xdr:to>
    <xdr:graphicFrame macro="">
      <xdr:nvGraphicFramePr>
        <xdr:cNvPr id="7" name="MLI">
          <a:extLst>
            <a:ext uri="{FF2B5EF4-FFF2-40B4-BE49-F238E27FC236}">
              <a16:creationId xmlns:a16="http://schemas.microsoft.com/office/drawing/2014/main" id="{00000000-0008-0000-0700-000007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76200</xdr:colOff>
      <xdr:row>0</xdr:row>
      <xdr:rowOff>66676</xdr:rowOff>
    </xdr:from>
    <xdr:to>
      <xdr:col>10</xdr:col>
      <xdr:colOff>447675</xdr:colOff>
      <xdr:row>1</xdr:row>
      <xdr:rowOff>28576</xdr:rowOff>
    </xdr:to>
    <xdr:grpSp>
      <xdr:nvGrpSpPr>
        <xdr:cNvPr id="2" name="Group 1">
          <a:extLst>
            <a:ext uri="{FF2B5EF4-FFF2-40B4-BE49-F238E27FC236}">
              <a16:creationId xmlns:a16="http://schemas.microsoft.com/office/drawing/2014/main" id="{00000000-0008-0000-0800-000002000000}"/>
            </a:ext>
          </a:extLst>
        </xdr:cNvPr>
        <xdr:cNvGrpSpPr/>
      </xdr:nvGrpSpPr>
      <xdr:grpSpPr>
        <a:xfrm>
          <a:off x="76200" y="66676"/>
          <a:ext cx="10182225" cy="342900"/>
          <a:chOff x="9524" y="0"/>
          <a:chExt cx="14087475" cy="485600"/>
        </a:xfrm>
      </xdr:grpSpPr>
      <xdr:sp macro="" textlink="">
        <xdr:nvSpPr>
          <xdr:cNvPr id="3" name="Rectangle 2">
            <a:extLst>
              <a:ext uri="{FF2B5EF4-FFF2-40B4-BE49-F238E27FC236}">
                <a16:creationId xmlns:a16="http://schemas.microsoft.com/office/drawing/2014/main" id="{00000000-0008-0000-0800-00000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sp>
      <xdr:sp macro="" textlink="">
        <xdr:nvSpPr>
          <xdr:cNvPr id="4" name="Rectangle 3">
            <a:extLst>
              <a:ext uri="{FF2B5EF4-FFF2-40B4-BE49-F238E27FC236}">
                <a16:creationId xmlns:a16="http://schemas.microsoft.com/office/drawing/2014/main" id="{00000000-0008-0000-0800-000004000000}"/>
              </a:ext>
            </a:extLst>
          </xdr:cNvPr>
          <xdr:cNvSpPr/>
        </xdr:nvSpPr>
        <xdr:spPr>
          <a:xfrm>
            <a:off x="9524" y="0"/>
            <a:ext cx="14087475" cy="485600"/>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200" kern="1200"/>
              <a:t>Thermal</a:t>
            </a:r>
            <a:r>
              <a:rPr lang="en-US" sz="2200" kern="1200" baseline="0"/>
              <a:t> Control - Solar Array Analysis</a:t>
            </a:r>
            <a:endParaRPr lang="en-US" sz="2200" kern="1200"/>
          </a:p>
        </xdr:txBody>
      </xdr:sp>
    </xdr:grpSp>
    <xdr:clientData/>
  </xdr:twoCellAnchor>
  <xdr:twoCellAnchor>
    <xdr:from>
      <xdr:col>9</xdr:col>
      <xdr:colOff>428625</xdr:colOff>
      <xdr:row>0</xdr:row>
      <xdr:rowOff>76201</xdr:rowOff>
    </xdr:from>
    <xdr:to>
      <xdr:col>10</xdr:col>
      <xdr:colOff>446510</xdr:colOff>
      <xdr:row>1</xdr:row>
      <xdr:rowOff>19051</xdr:rowOff>
    </xdr:to>
    <xdr:grpSp>
      <xdr:nvGrpSpPr>
        <xdr:cNvPr id="5" name="Group 4">
          <a:extLst>
            <a:ext uri="{FF2B5EF4-FFF2-40B4-BE49-F238E27FC236}">
              <a16:creationId xmlns:a16="http://schemas.microsoft.com/office/drawing/2014/main" id="{00000000-0008-0000-0800-000005000000}"/>
            </a:ext>
          </a:extLst>
        </xdr:cNvPr>
        <xdr:cNvGrpSpPr>
          <a:grpSpLocks noChangeAspect="1"/>
        </xdr:cNvGrpSpPr>
      </xdr:nvGrpSpPr>
      <xdr:grpSpPr>
        <a:xfrm>
          <a:off x="9617075" y="76201"/>
          <a:ext cx="640185" cy="323850"/>
          <a:chOff x="9020175" y="9163050"/>
          <a:chExt cx="1526176" cy="972344"/>
        </a:xfrm>
      </xdr:grpSpPr>
      <xdr:sp macro="" textlink="">
        <xdr:nvSpPr>
          <xdr:cNvPr id="6" name="Rectangle 5">
            <a:extLst>
              <a:ext uri="{FF2B5EF4-FFF2-40B4-BE49-F238E27FC236}">
                <a16:creationId xmlns:a16="http://schemas.microsoft.com/office/drawing/2014/main" id="{00000000-0008-0000-0800-000006000000}"/>
              </a:ext>
            </a:extLst>
          </xdr:cNvPr>
          <xdr:cNvSpPr/>
        </xdr:nvSpPr>
        <xdr:spPr>
          <a:xfrm>
            <a:off x="9020175" y="9163050"/>
            <a:ext cx="1495424" cy="972344"/>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en-US" sz="1100"/>
          </a:p>
        </xdr:txBody>
      </xdr:sp>
      <xdr:pic>
        <xdr:nvPicPr>
          <xdr:cNvPr id="7" name="Picture 6" descr="CDF Logo.png">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1" cstate="print"/>
          <a:stretch>
            <a:fillRect/>
          </a:stretch>
        </xdr:blipFill>
        <xdr:spPr>
          <a:xfrm>
            <a:off x="9097001" y="9210675"/>
            <a:ext cx="1449350" cy="890649"/>
          </a:xfrm>
          <a:prstGeom prst="rect">
            <a:avLst/>
          </a:prstGeom>
        </xdr:spPr>
      </xdr:pic>
    </xdr:grpSp>
    <xdr:clientData/>
  </xdr:twoCellAnchor>
</xdr:wsDr>
</file>

<file path=xl/drawings/drawing10.xml><?xml version="1.0" encoding="utf-8"?>
<xdr:wsDr xmlns:xdr="http://schemas.openxmlformats.org/drawingml/2006/spreadsheetDrawing" xmlns:a="http://schemas.openxmlformats.org/drawingml/2006/main">
  <xdr:twoCellAnchor>
    <xdr:from>
      <xdr:col>18</xdr:col>
      <xdr:colOff>293687</xdr:colOff>
      <xdr:row>28</xdr:row>
      <xdr:rowOff>176214</xdr:rowOff>
    </xdr:from>
    <xdr:to>
      <xdr:col>27</xdr:col>
      <xdr:colOff>380999</xdr:colOff>
      <xdr:row>43</xdr:row>
      <xdr:rowOff>0</xdr:rowOff>
    </xdr:to>
    <xdr:graphicFrame macro="">
      <xdr:nvGraphicFramePr>
        <xdr:cNvPr id="2" name="Chart 1">
          <a:extLst>
            <a:ext uri="{FF2B5EF4-FFF2-40B4-BE49-F238E27FC236}">
              <a16:creationId xmlns:a16="http://schemas.microsoft.com/office/drawing/2014/main" id="{00000000-0008-0000-0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107950</xdr:colOff>
      <xdr:row>4</xdr:row>
      <xdr:rowOff>114300</xdr:rowOff>
    </xdr:from>
    <xdr:to>
      <xdr:col>5</xdr:col>
      <xdr:colOff>247650</xdr:colOff>
      <xdr:row>6</xdr:row>
      <xdr:rowOff>6350</xdr:rowOff>
    </xdr:to>
    <xdr:sp macro="" textlink="">
      <xdr:nvSpPr>
        <xdr:cNvPr id="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0</xdr:colOff>
      <xdr:row>0</xdr:row>
      <xdr:rowOff>44450</xdr:rowOff>
    </xdr:from>
    <xdr:to>
      <xdr:col>7</xdr:col>
      <xdr:colOff>609600</xdr:colOff>
      <xdr:row>2</xdr:row>
      <xdr:rowOff>133350</xdr:rowOff>
    </xdr:to>
    <xdr:grpSp>
      <xdr:nvGrpSpPr>
        <xdr:cNvPr id="66" name="Group 65">
          <a:extLst>
            <a:ext uri="{FF2B5EF4-FFF2-40B4-BE49-F238E27FC236}">
              <a16:creationId xmlns:a16="http://schemas.microsoft.com/office/drawing/2014/main" id="{00000000-0008-0000-0B00-000042000000}"/>
            </a:ext>
          </a:extLst>
        </xdr:cNvPr>
        <xdr:cNvGrpSpPr>
          <a:grpSpLocks/>
        </xdr:cNvGrpSpPr>
      </xdr:nvGrpSpPr>
      <xdr:grpSpPr bwMode="auto">
        <a:xfrm>
          <a:off x="0" y="44450"/>
          <a:ext cx="6432550" cy="457200"/>
          <a:chOff x="9524" y="0"/>
          <a:chExt cx="14087475" cy="485600"/>
        </a:xfrm>
      </xdr:grpSpPr>
      <xdr:sp macro="" textlink="">
        <xdr:nvSpPr>
          <xdr:cNvPr id="67" name="Rectangle 66">
            <a:extLst>
              <a:ext uri="{FF2B5EF4-FFF2-40B4-BE49-F238E27FC236}">
                <a16:creationId xmlns:a16="http://schemas.microsoft.com/office/drawing/2014/main" id="{00000000-0008-0000-0B00-000043000000}"/>
              </a:ext>
            </a:extLst>
          </xdr:cNvPr>
          <xdr:cNvSpPr/>
        </xdr:nvSpPr>
        <xdr:spPr>
          <a:xfrm>
            <a:off x="9524" y="0"/>
            <a:ext cx="14087475" cy="485600"/>
          </a:xfrm>
          <a:prstGeom prst="rect">
            <a:avLst/>
          </a:prstGeom>
        </xdr:spPr>
        <xdr:style>
          <a:lnRef idx="0">
            <a:schemeClr val="lt1">
              <a:hueOff val="0"/>
              <a:satOff val="0"/>
              <a:lumOff val="0"/>
              <a:alphaOff val="0"/>
            </a:schemeClr>
          </a:lnRef>
          <a:fillRef idx="3">
            <a:schemeClr val="accent1">
              <a:alpha val="90000"/>
              <a:hueOff val="0"/>
              <a:satOff val="0"/>
              <a:lumOff val="0"/>
              <a:alphaOff val="0"/>
            </a:schemeClr>
          </a:fillRef>
          <a:effectRef idx="2">
            <a:schemeClr val="accent1">
              <a:alpha val="90000"/>
              <a:hueOff val="0"/>
              <a:satOff val="0"/>
              <a:lumOff val="0"/>
              <a:alphaOff val="0"/>
            </a:schemeClr>
          </a:effectRef>
          <a:fontRef idx="minor">
            <a:schemeClr val="lt1"/>
          </a:fontRef>
        </xdr:style>
        <xdr:txBody>
          <a:bodyPr/>
          <a:lstStyle/>
          <a:p>
            <a:endParaRPr lang="fr-FR" sz="700"/>
          </a:p>
        </xdr:txBody>
      </xdr:sp>
      <xdr:sp macro="" textlink="">
        <xdr:nvSpPr>
          <xdr:cNvPr id="68" name="Rectangle 67">
            <a:extLst>
              <a:ext uri="{FF2B5EF4-FFF2-40B4-BE49-F238E27FC236}">
                <a16:creationId xmlns:a16="http://schemas.microsoft.com/office/drawing/2014/main" id="{00000000-0008-0000-0B00-000044000000}"/>
              </a:ext>
            </a:extLst>
          </xdr:cNvPr>
          <xdr:cNvSpPr/>
        </xdr:nvSpPr>
        <xdr:spPr>
          <a:xfrm>
            <a:off x="9524" y="0"/>
            <a:ext cx="14087475" cy="474437"/>
          </a:xfrm>
          <a:prstGeom prst="rect">
            <a:avLst/>
          </a:prstGeom>
        </xdr:spPr>
        <xdr:style>
          <a:lnRef idx="0">
            <a:scrgbClr r="0" g="0" b="0"/>
          </a:lnRef>
          <a:fillRef idx="0">
            <a:scrgbClr r="0" g="0" b="0"/>
          </a:fillRef>
          <a:effectRef idx="0">
            <a:scrgbClr r="0" g="0" b="0"/>
          </a:effectRef>
          <a:fontRef idx="minor">
            <a:schemeClr val="lt1"/>
          </a:fontRef>
        </xdr:style>
        <xdr:txBody>
          <a:bodyPr spcFirstLastPara="0" vert="horz" wrap="square" lIns="83820" tIns="83820" rIns="83820" bIns="83820" numCol="1" spcCol="1270" anchor="ctr" anchorCtr="0">
            <a:noAutofit/>
          </a:bodyPr>
          <a:lstStyle/>
          <a:p>
            <a:pPr lvl="0" algn="ctr" defTabSz="977900">
              <a:lnSpc>
                <a:spcPct val="90000"/>
              </a:lnSpc>
              <a:spcBef>
                <a:spcPct val="0"/>
              </a:spcBef>
              <a:spcAft>
                <a:spcPct val="35000"/>
              </a:spcAft>
            </a:pPr>
            <a:r>
              <a:rPr lang="en-US" sz="2800" kern="1200">
                <a:latin typeface="+mn-lt"/>
                <a:cs typeface="Times New Roman" pitchFamily="18" charset="0"/>
              </a:rPr>
              <a:t>Thermal</a:t>
            </a:r>
            <a:r>
              <a:rPr lang="en-US" sz="3200" kern="1200">
                <a:latin typeface="+mn-lt"/>
                <a:cs typeface="Times New Roman" pitchFamily="18" charset="0"/>
              </a:rPr>
              <a:t> </a:t>
            </a:r>
            <a:r>
              <a:rPr lang="en-US" sz="2000" kern="1200">
                <a:latin typeface="+mn-lt"/>
                <a:cs typeface="Times New Roman" pitchFamily="18" charset="0"/>
              </a:rPr>
              <a:t>Product Tree</a:t>
            </a:r>
          </a:p>
        </xdr:txBody>
      </xdr:sp>
    </xdr:grpSp>
    <xdr:clientData/>
  </xdr:twoCellAnchor>
  <xdr:twoCellAnchor>
    <xdr:from>
      <xdr:col>3</xdr:col>
      <xdr:colOff>107950</xdr:colOff>
      <xdr:row>4</xdr:row>
      <xdr:rowOff>114300</xdr:rowOff>
    </xdr:from>
    <xdr:to>
      <xdr:col>5</xdr:col>
      <xdr:colOff>247650</xdr:colOff>
      <xdr:row>6</xdr:row>
      <xdr:rowOff>6350</xdr:rowOff>
    </xdr:to>
    <xdr:sp macro="" textlink="">
      <xdr:nvSpPr>
        <xdr:cNvPr id="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00000}"/>
            </a:ext>
          </a:extLst>
        </xdr:cNvPr>
        <xdr:cNvSpPr/>
      </xdr:nvSpPr>
      <xdr:spPr bwMode="auto">
        <a:xfrm>
          <a:off x="3695700" y="850900"/>
          <a:ext cx="1765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1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2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3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3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0F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0F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0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0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1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1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2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2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4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4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3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3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4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5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6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5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5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7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7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8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8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9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9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A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7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8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A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69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69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0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0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B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B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1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1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2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2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3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C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3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C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4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4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7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D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E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8F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0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1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2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3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4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5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6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7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8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9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A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B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C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9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5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D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E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5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AF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0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1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2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3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4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5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6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7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8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9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A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B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C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B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C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D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0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1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2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3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4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5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6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7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8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9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A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B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C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D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E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EF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0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1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2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3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41D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5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6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7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8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9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A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B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C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D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E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FF1D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0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1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2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3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6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4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5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6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7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8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8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9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A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B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C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D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E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0F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0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1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2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69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3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0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4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5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6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7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8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9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A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B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C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0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D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E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1F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0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1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2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3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4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5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6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1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7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8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9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A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B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C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D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E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2F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0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2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1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2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3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4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5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6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7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8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9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A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3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B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4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C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D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E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3F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0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1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2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3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4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4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5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5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6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5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7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5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8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5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9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5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A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5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B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5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C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D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E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5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4F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0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1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2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3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4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5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6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7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8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6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9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A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B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4</xdr:row>
      <xdr:rowOff>114300</xdr:rowOff>
    </xdr:from>
    <xdr:to>
      <xdr:col>5</xdr:col>
      <xdr:colOff>247650</xdr:colOff>
      <xdr:row>6</xdr:row>
      <xdr:rowOff>6350</xdr:rowOff>
    </xdr:to>
    <xdr:sp macro="" textlink="">
      <xdr:nvSpPr>
        <xdr:cNvPr id="777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C1E0000}"/>
            </a:ext>
          </a:extLst>
        </xdr:cNvPr>
        <xdr:cNvSpPr/>
      </xdr:nvSpPr>
      <xdr:spPr bwMode="auto">
        <a:xfrm>
          <a:off x="3695700" y="85090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7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D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7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E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7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5F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7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0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7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1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7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2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79"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3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0"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4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1"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5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2"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6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3"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7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4"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8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5"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9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6"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A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7"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B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3</xdr:col>
      <xdr:colOff>107950</xdr:colOff>
      <xdr:row>11</xdr:row>
      <xdr:rowOff>114300</xdr:rowOff>
    </xdr:from>
    <xdr:to>
      <xdr:col>5</xdr:col>
      <xdr:colOff>247650</xdr:colOff>
      <xdr:row>13</xdr:row>
      <xdr:rowOff>6350</xdr:rowOff>
    </xdr:to>
    <xdr:sp macro="" textlink="">
      <xdr:nvSpPr>
        <xdr:cNvPr id="7788" name="Button 1451" hidden="1">
          <a:extLst>
            <a:ext uri="{63B3BB69-23CF-44E3-9099-C40C66FF867C}">
              <a14:compatExt xmlns:a14="http://schemas.microsoft.com/office/drawing/2010/main" spid="_x0000_s39339"/>
            </a:ext>
            <a:ext uri="{FF2B5EF4-FFF2-40B4-BE49-F238E27FC236}">
              <a16:creationId xmlns:a16="http://schemas.microsoft.com/office/drawing/2014/main" id="{00000000-0008-0000-0B00-00006C1E0000}"/>
            </a:ext>
          </a:extLst>
        </xdr:cNvPr>
        <xdr:cNvSpPr/>
      </xdr:nvSpPr>
      <xdr:spPr bwMode="auto">
        <a:xfrm>
          <a:off x="3695700" y="2139950"/>
          <a:ext cx="1257300" cy="260350"/>
        </a:xfrm>
        <a:prstGeom prst="rect">
          <a:avLst/>
        </a:prstGeom>
        <a:noFill/>
        <a:ln w="9525">
          <a:miter lim="800000"/>
          <a:headEnd/>
          <a:tailEnd/>
        </a:ln>
      </xdr:spPr>
      <xdr:txBody>
        <a:bodyPr vertOverflow="clip" wrap="square" lIns="36576" tIns="22860" rIns="36576" bIns="22860" anchor="ctr" upright="1"/>
        <a:lstStyle/>
        <a:p>
          <a:pPr algn="ctr" rtl="0">
            <a:defRPr sz="1000"/>
          </a:pPr>
          <a:r>
            <a:rPr lang="en-GB" sz="800" b="0" i="0" u="none" strike="noStrike" baseline="0">
              <a:solidFill>
                <a:srgbClr val="000000"/>
              </a:solidFill>
              <a:latin typeface="Georgia"/>
            </a:rPr>
            <a:t>Generate Tree from OCDT Input</a:t>
          </a:r>
        </a:p>
      </xdr:txBody>
    </xdr:sp>
    <xdr:clientData fPrintsWithSheet="0"/>
  </xdr:twoCellAnchor>
  <xdr:twoCellAnchor>
    <xdr:from>
      <xdr:col>0</xdr:col>
      <xdr:colOff>692150</xdr:colOff>
      <xdr:row>4</xdr:row>
      <xdr:rowOff>139700</xdr:rowOff>
    </xdr:from>
    <xdr:to>
      <xdr:col>6</xdr:col>
      <xdr:colOff>0</xdr:colOff>
      <xdr:row>19</xdr:row>
      <xdr:rowOff>120650</xdr:rowOff>
    </xdr:to>
    <xdr:graphicFrame macro="">
      <xdr:nvGraphicFramePr>
        <xdr:cNvPr id="7789" name="Diagram 7788">
          <a:extLst>
            <a:ext uri="{FF2B5EF4-FFF2-40B4-BE49-F238E27FC236}">
              <a16:creationId xmlns:a16="http://schemas.microsoft.com/office/drawing/2014/main" id="{00000000-0008-0000-0B00-00006D1E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1" r:lo="rId2" r:qs="rId3" r:cs="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Loris%20Franchi/Desktop/Ideas%20for%20worksheets%20integrations/Marcos/Product%20Tree/AutoTree%20GenerationOCDTint.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oris%20Franchi/Desktop/Deliverables/Calculation%20Sheets/ESA-ISU_Payload_v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Loris%20Franchi/Desktop/CDF_Repository/CalculationSheetsPolito_ToReview/Complete%20Desing_V6.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Payload_v1.5.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oris%20Franchi/Desktop/Ideas%20for%20worksheets%20integrations/Calculation%20sheets_ToBeReviewd/Thermal%20And%20Structure/Subsyste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oris/Desktop/CDF%20Polito%20Final/Calculation%20Sheets/ESA-ISU_ADCS_v2.xlsm"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ADCS_v1.9.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oris/Google%20Drive/Polito%20Remember/CDF%20+%20MONET/CDF%20Polito%20Final/Calculation%20Sheets/Polito-ESA-ISU_Mission_v2.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loris/Desktop/CDF%20Polito%20Final/Calculation%20Sheets/DHS_V1.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WithTradeOff/Structure_V1.9%20(With%20TradeOff%20And%20Product%20Tree).xlsm"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loris/Desktop/REDU/Deliverables/Calculation%20Sheets/ESA-ISU_Power_v2.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Mission_v1.9.1.xlsm"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Loris%20Franchi/Desktop/ADP/Temp/Calculation%20Sheets/Updated/ESA-ISU_Mission_v1.8.xlsm"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loris/Desktop/CDF%20Polito%20Final/Calculation%20Sheets/ESA-ISU_Thermal_v2.xlsm"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Loris%20Franchi/Desktop/ADP%20final/Calculation%20Sheets/WithMacros/ESA-ISU_Thermal_v1.9(With%20TradeOff%20and%20Product%20Tree).xlsm"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Teacher/Desktop/Calculation%20sheets/Old/ESA-ISU_CalculationSheet_Therm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ORDE_Info"/>
      <sheetName val="Parameters"/>
      <sheetName val="States"/>
      <sheetName val="Option_default"/>
      <sheetName val="Option_TempOpt"/>
      <sheetName val="Summary_default"/>
      <sheetName val="Summary_TempOpt"/>
      <sheetName val="TempData"/>
      <sheetName val="Data"/>
      <sheetName val="ProductTreeMain"/>
      <sheetName val="Product Tree_Example_Results"/>
      <sheetName val="Db"/>
      <sheetName val="Product Tree Manual"/>
      <sheetName val="AutoTree GenerationOCDTint"/>
    </sheetNames>
    <sheetDataSet>
      <sheetData sheetId="0"/>
      <sheetData sheetId="1">
        <row r="2">
          <cell r="I2">
            <v>1001000</v>
          </cell>
        </row>
        <row r="4">
          <cell r="I4">
            <v>2</v>
          </cell>
        </row>
        <row r="5">
          <cell r="I5">
            <v>3</v>
          </cell>
        </row>
        <row r="6">
          <cell r="I6" t="str">
            <v>-</v>
          </cell>
        </row>
        <row r="8">
          <cell r="I8" t="str">
            <v>-</v>
          </cell>
        </row>
        <row r="9">
          <cell r="I9" t="str">
            <v>-</v>
          </cell>
        </row>
        <row r="10">
          <cell r="I10" t="str">
            <v>-</v>
          </cell>
        </row>
        <row r="12">
          <cell r="I12" t="str">
            <v>-</v>
          </cell>
        </row>
        <row r="13">
          <cell r="I13" t="str">
            <v>-</v>
          </cell>
        </row>
        <row r="14">
          <cell r="I14" t="str">
            <v>-</v>
          </cell>
        </row>
        <row r="16">
          <cell r="I16" t="str">
            <v>-</v>
          </cell>
        </row>
        <row r="17">
          <cell r="I17" t="str">
            <v>-</v>
          </cell>
        </row>
        <row r="18">
          <cell r="I18" t="str">
            <v>-</v>
          </cell>
        </row>
        <row r="20">
          <cell r="I20" t="str">
            <v>-</v>
          </cell>
        </row>
        <row r="21">
          <cell r="I21" t="str">
            <v>-</v>
          </cell>
        </row>
        <row r="22">
          <cell r="I22" t="str">
            <v>-</v>
          </cell>
        </row>
        <row r="24">
          <cell r="I24" t="str">
            <v>-</v>
          </cell>
        </row>
        <row r="25">
          <cell r="I25" t="str">
            <v>-</v>
          </cell>
        </row>
        <row r="26">
          <cell r="I26" t="str">
            <v>0,2</v>
          </cell>
        </row>
        <row r="28">
          <cell r="I28" t="str">
            <v>-</v>
          </cell>
        </row>
        <row r="29">
          <cell r="I29" t="str">
            <v>-</v>
          </cell>
        </row>
        <row r="30">
          <cell r="I30">
            <v>3</v>
          </cell>
        </row>
        <row r="32">
          <cell r="I32" t="str">
            <v>-</v>
          </cell>
        </row>
        <row r="33">
          <cell r="I33" t="str">
            <v>-</v>
          </cell>
        </row>
        <row r="34">
          <cell r="I34" t="str">
            <v>-</v>
          </cell>
        </row>
        <row r="36">
          <cell r="I36" t="str">
            <v>-</v>
          </cell>
        </row>
        <row r="37">
          <cell r="I37" t="str">
            <v>-</v>
          </cell>
        </row>
      </sheetData>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s Payload - Optics"/>
      <sheetName val="Obs Payload - Sizing"/>
      <sheetName val="Obs Payload- Along Track Stereo"/>
      <sheetName val="MSI-Radiometric budget"/>
      <sheetName val="Modes"/>
      <sheetName val="EO- Missions"/>
      <sheetName val="EO Sensors"/>
      <sheetName val="ProductTreeMain"/>
      <sheetName val="Trade_off"/>
      <sheetName val="Db"/>
      <sheetName val="Constants"/>
      <sheetName val="ESA-ISU_Payload_v2"/>
    </sheetNames>
    <sheetDataSet>
      <sheetData sheetId="0" refreshError="1"/>
      <sheetData sheetId="1" refreshError="1"/>
      <sheetData sheetId="2" refreshError="1"/>
      <sheetData sheetId="3">
        <row r="35">
          <cell r="D35">
            <v>2.4383172413793104</v>
          </cell>
        </row>
        <row r="36">
          <cell r="D36"/>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ign Sheet Navigator"/>
      <sheetName val="Constants"/>
      <sheetName val="Orbit - Deisgn Steps"/>
      <sheetName val="Orbits - Dynamics"/>
      <sheetName val="Orbits - Geometry"/>
      <sheetName val="Orbits - Maneuvers"/>
      <sheetName val="Orbits - Patched Conic"/>
      <sheetName val="Orbits - Budgets"/>
      <sheetName val="Subject - EM Spectrum"/>
      <sheetName val="Obs Payload - Optics"/>
      <sheetName val="Obs Payload - Sizing"/>
      <sheetName val="SC Bus - Preliminary Sizing"/>
      <sheetName val="Attitude Control - Design Proce"/>
      <sheetName val="Attitude Control - Torques"/>
      <sheetName val="Attitude Control - Sizing"/>
      <sheetName val="Comm - Design Steps"/>
      <sheetName val="Comm - Uplink"/>
      <sheetName val="Comm - Downlink"/>
      <sheetName val="Power - Design Steps"/>
      <sheetName val="Power-Dynamic Power Budget"/>
      <sheetName val="Power - Solar Arrays"/>
      <sheetName val="Power - Secondary Batteries"/>
      <sheetName val="Power -Energy Budget"/>
      <sheetName val="Power - Other Primary Sources"/>
      <sheetName val="Propulsion - Sizing"/>
      <sheetName val="Propulsion - Thermodynamics"/>
      <sheetName val="Propulsion - Storage &amp; Feed"/>
      <sheetName val="Structure - Design Steps"/>
      <sheetName val="Structure - Monocoque"/>
      <sheetName val="Structure - Semi-Monocoque"/>
      <sheetName val="Structure - Mech"/>
      <sheetName val="Thermal Control - Design Steps"/>
      <sheetName val="Thermal Control - Spherical"/>
      <sheetName val="Thermal Control - Solar Array"/>
      <sheetName val="CDH - Design Steps"/>
      <sheetName val="Command &amp; Data Handling"/>
      <sheetName val="System Sizing Summary"/>
      <sheetName val="Launch Vehicle Information"/>
      <sheetName val="Transfer Vehicle Information"/>
      <sheetName val="Operation - Design Steps"/>
      <sheetName val="Mission Operations Complexity"/>
      <sheetName val="Ops Complexity - Mission Design"/>
      <sheetName val="Ops Complexity - Flight Systems"/>
      <sheetName val="Ops Complexity - Risk"/>
      <sheetName val="Ops Complexity - Ground Systems"/>
      <sheetName val="Cost Estimate Inputs"/>
      <sheetName val="Space Seg Cost - USCM 7th Ed"/>
      <sheetName val="Space Seg Cost - SSCM (SMAD)"/>
      <sheetName val="Space Seg Cost - SSCM 7.4"/>
      <sheetName val="SC Bus Cost Model - SSCM 7.4"/>
      <sheetName val="Space Seg Cost - SSCM 8.0"/>
      <sheetName val="SC Bus Cost Model - SSCM 8.0"/>
      <sheetName val="Space Segment Cost Comparison"/>
      <sheetName val="Lifecycle Cost Estimate"/>
    </sheetNames>
    <sheetDataSet>
      <sheetData sheetId="0" refreshError="1"/>
      <sheetData sheetId="1">
        <row r="1">
          <cell r="B1">
            <v>299792458</v>
          </cell>
        </row>
        <row r="7">
          <cell r="B7">
            <v>132700000000</v>
          </cell>
        </row>
        <row r="9">
          <cell r="B9">
            <v>149600000</v>
          </cell>
        </row>
        <row r="10">
          <cell r="B10">
            <v>365.25400000000002</v>
          </cell>
        </row>
        <row r="14">
          <cell r="B14">
            <v>24</v>
          </cell>
        </row>
        <row r="16">
          <cell r="B16">
            <v>149600000</v>
          </cell>
        </row>
        <row r="17">
          <cell r="B17">
            <v>365.25400000000002</v>
          </cell>
        </row>
        <row r="18">
          <cell r="B18">
            <v>6378.1369999999997</v>
          </cell>
        </row>
        <row r="19">
          <cell r="B19">
            <v>398600.44179999997</v>
          </cell>
        </row>
        <row r="20">
          <cell r="B20">
            <v>1.08263E-3</v>
          </cell>
        </row>
        <row r="21">
          <cell r="B21">
            <v>-3.3800000000000002E-3</v>
          </cell>
        </row>
        <row r="22">
          <cell r="B22">
            <v>-1.5399999999999999E-3</v>
          </cell>
        </row>
        <row r="23">
          <cell r="B23">
            <v>1.6900000000000001E-3</v>
          </cell>
        </row>
        <row r="24">
          <cell r="B24">
            <v>7.6999999999999996E-4</v>
          </cell>
        </row>
        <row r="26">
          <cell r="B26">
            <v>24</v>
          </cell>
        </row>
        <row r="27">
          <cell r="B27">
            <v>463.8312116386399</v>
          </cell>
        </row>
        <row r="28">
          <cell r="B28">
            <v>7960000000000000</v>
          </cell>
        </row>
        <row r="29">
          <cell r="B29">
            <v>258</v>
          </cell>
        </row>
        <row r="30">
          <cell r="B30">
            <v>216</v>
          </cell>
        </row>
        <row r="31">
          <cell r="B31">
            <v>1418</v>
          </cell>
        </row>
        <row r="32">
          <cell r="B32">
            <v>1367</v>
          </cell>
        </row>
      </sheetData>
      <sheetData sheetId="2" refreshError="1"/>
      <sheetData sheetId="3">
        <row r="16">
          <cell r="D16">
            <v>90.519618819120112</v>
          </cell>
        </row>
      </sheetData>
      <sheetData sheetId="4">
        <row r="6">
          <cell r="H6">
            <v>36.59058646021213</v>
          </cell>
        </row>
      </sheetData>
      <sheetData sheetId="5" refreshError="1"/>
      <sheetData sheetId="6" refreshError="1"/>
      <sheetData sheetId="7" refreshError="1"/>
      <sheetData sheetId="8" refreshError="1"/>
      <sheetData sheetId="9" refreshError="1"/>
      <sheetData sheetId="10" refreshError="1"/>
      <sheetData sheetId="11">
        <row r="5">
          <cell r="I5">
            <v>1.05</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bs Payload - Optics"/>
      <sheetName val="Obs Payload - Sizing"/>
      <sheetName val="Obs Payload- Along Track Stereo"/>
      <sheetName val="MSI-Radiometric budget"/>
      <sheetName val="EO- Missions"/>
      <sheetName val="Sensors-Db"/>
      <sheetName val="Constants"/>
    </sheetNames>
    <sheetDataSet>
      <sheetData sheetId="0"/>
      <sheetData sheetId="1"/>
      <sheetData sheetId="2"/>
      <sheetData sheetId="3"/>
      <sheetData sheetId="4"/>
      <sheetData sheetId="5"/>
      <sheetData sheetId="6"/>
      <sheetData sheetId="7">
        <row r="1">
          <cell r="B1">
            <v>299792458</v>
          </cell>
        </row>
        <row r="3">
          <cell r="B3">
            <v>1.3806580000000001E-23</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system"/>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Objectives"/>
      <sheetName val="Attitude Control - Torques"/>
      <sheetName val="Modes"/>
      <sheetName val="Attitude Control - Sizing"/>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ow r="20">
          <cell r="Q20">
            <v>0.2</v>
          </cell>
        </row>
        <row r="30">
          <cell r="Q30">
            <v>0.5</v>
          </cell>
        </row>
        <row r="66">
          <cell r="Q66">
            <v>0</v>
          </cell>
        </row>
      </sheetData>
      <sheetData sheetId="7" refreshError="1"/>
      <sheetData sheetId="8" refreshError="1"/>
      <sheetData sheetId="9">
        <row r="1">
          <cell r="B1">
            <v>299792458</v>
          </cell>
        </row>
        <row r="11">
          <cell r="B11">
            <v>6378.1369999999997</v>
          </cell>
        </row>
        <row r="12">
          <cell r="B12">
            <v>398600.44179999997</v>
          </cell>
        </row>
        <row r="33">
          <cell r="B33">
            <v>1367</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Cover"/>
      <sheetName val="Change Log"/>
      <sheetName val="Attitude Control - Torques"/>
      <sheetName val="Modes"/>
      <sheetName val="Attitude Control - Sizing"/>
      <sheetName val="Constants"/>
    </sheetNames>
    <sheetDataSet>
      <sheetData sheetId="0" refreshError="1"/>
      <sheetData sheetId="1" refreshError="1"/>
      <sheetData sheetId="2" refreshError="1"/>
      <sheetData sheetId="3" refreshError="1"/>
      <sheetData sheetId="4" refreshError="1"/>
      <sheetData sheetId="5">
        <row r="20">
          <cell r="Q20">
            <v>0.2</v>
          </cell>
        </row>
        <row r="30">
          <cell r="Q30">
            <v>0.5</v>
          </cell>
        </row>
        <row r="66">
          <cell r="Q66">
            <v>0</v>
          </cell>
        </row>
      </sheetData>
      <sheetData sheetId="6">
        <row r="1">
          <cell r="B1">
            <v>299792458</v>
          </cell>
        </row>
        <row r="11">
          <cell r="B11">
            <v>6378.1369999999997</v>
          </cell>
        </row>
        <row r="12">
          <cell r="B12">
            <v>398600.44179999997</v>
          </cell>
        </row>
        <row r="18">
          <cell r="B18">
            <v>6378.1369999999997</v>
          </cell>
        </row>
        <row r="28">
          <cell r="B28">
            <v>7960000000000000</v>
          </cell>
        </row>
        <row r="33">
          <cell r="B33">
            <v>1367</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Objectives"/>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ProductTreeMain"/>
      <sheetName val="Trade_off"/>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7">
          <cell r="B7">
            <v>132700000000</v>
          </cell>
        </row>
        <row r="9">
          <cell r="B9">
            <v>149600016.456</v>
          </cell>
        </row>
        <row r="14">
          <cell r="B14">
            <v>24</v>
          </cell>
        </row>
        <row r="16">
          <cell r="B16">
            <v>149600000</v>
          </cell>
        </row>
        <row r="19">
          <cell r="B19">
            <v>4902</v>
          </cell>
        </row>
        <row r="20">
          <cell r="B20">
            <v>2.0269999999999999E-4</v>
          </cell>
        </row>
        <row r="27">
          <cell r="B27">
            <v>126.31820461308959</v>
          </cell>
        </row>
      </sheetData>
      <sheetData sheetId="2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Objectives"/>
      <sheetName val="CDH - DataBudget &amp; Mass Storage"/>
      <sheetName val="CDH -Single Master"/>
      <sheetName val="Distributed - ADCS board"/>
      <sheetName val="Distributed - Payload Board"/>
      <sheetName val="Distributed - TT&amp;C"/>
      <sheetName val="Radiation Hardness"/>
      <sheetName val="CDH -Distributed"/>
      <sheetName val="ProductTreeMain"/>
      <sheetName val="Trade_off"/>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8">
          <cell r="B18">
            <v>6378.1369999999997</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General Inputs"/>
      <sheetName val="Cylinder"/>
      <sheetName val="Prism"/>
      <sheetName val="MainTrade"/>
      <sheetName val="ProductTreeMain"/>
      <sheetName val="Temp"/>
      <sheetName val="Db"/>
      <sheetName val="Constants"/>
      <sheetName val="Structure_V1"/>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ow r="6">
          <cell r="B6">
            <v>6378.14</v>
          </cell>
        </row>
        <row r="7">
          <cell r="B7">
            <v>398600.5</v>
          </cell>
        </row>
      </sheetData>
      <sheetData sheetId="1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sheetName val="Power- Power Budget  OCDT"/>
      <sheetName val="Power- Power Budget"/>
      <sheetName val="Power - Solar Arrays"/>
      <sheetName val="Power - Secondary Batteries"/>
      <sheetName val="Power - Other Primary Sources"/>
      <sheetName val="Modes"/>
      <sheetName val="ProductTreeMain"/>
      <sheetName val="Trade_off"/>
      <sheetName val="Constants"/>
      <sheetName val="ConCORDE_Info"/>
      <sheetName val="Parameters"/>
      <sheetName val="States"/>
      <sheetName val="Option_default"/>
      <sheetName val="Summary_defaul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11">
          <cell r="B11">
            <v>6378.1369999999997</v>
          </cell>
        </row>
        <row r="12">
          <cell r="B12">
            <v>398600.44179999997</v>
          </cell>
        </row>
        <row r="33">
          <cell r="B33">
            <v>1367</v>
          </cell>
        </row>
      </sheetData>
      <sheetData sheetId="11" refreshError="1"/>
      <sheetData sheetId="12" refreshError="1"/>
      <sheetData sheetId="13" refreshError="1"/>
      <sheetData sheetId="14" refreshError="1"/>
      <sheetData sheetId="1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Mission Timeline"/>
      <sheetName val="Orbits - Dynamics"/>
      <sheetName val="Orbits - Geometry"/>
      <sheetName val="Planet Coverage Vs Latitude"/>
      <sheetName val="Interplanetary - Launch Windows"/>
      <sheetName val="Interplanetary Missions"/>
      <sheetName val="Interplanetary -Transfer "/>
      <sheetName val="Interplanetary - Fly-Bys"/>
      <sheetName val="Orbits - Maneuvers"/>
      <sheetName val="Orbit - Constellation"/>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7">
          <cell r="B7">
            <v>132700000000</v>
          </cell>
        </row>
        <row r="11">
          <cell r="B11">
            <v>6378.1369999999997</v>
          </cell>
        </row>
        <row r="12">
          <cell r="B12">
            <v>398600.44179999997</v>
          </cell>
        </row>
        <row r="40">
          <cell r="B40">
            <v>57.2958</v>
          </cell>
        </row>
      </sheetData>
      <sheetData sheetId="2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orkbook Description"/>
      <sheetName val="Orbits - Dynamics"/>
      <sheetName val="Orbits - Geometry"/>
      <sheetName val="Planet Coverage Vs Latitude"/>
      <sheetName val="Interplanetary - Launch Windows"/>
      <sheetName val="Interplanetary Missions"/>
      <sheetName val="Interplanetary -Transfer "/>
      <sheetName val="Orbits - Maneuvers"/>
      <sheetName val="Orbits - Budgets"/>
      <sheetName val="Launch Vehicle Information I"/>
      <sheetName val="Launch Vehicle Information II"/>
      <sheetName val="Launch Sites Information"/>
      <sheetName val="Transfer Vehicle Information"/>
      <sheetName val="EO- Missions"/>
      <sheetName val="Constants"/>
      <sheetName val="M(H,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7">
          <cell r="B7">
            <v>132700000000</v>
          </cell>
        </row>
        <row r="9">
          <cell r="B9">
            <v>149600016.456</v>
          </cell>
        </row>
      </sheetData>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ConCORDE_Info"/>
      <sheetName val="Parameters"/>
      <sheetName val="States"/>
      <sheetName val="Option_default"/>
      <sheetName val="Summary_default"/>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sheetData sheetId="1"/>
      <sheetData sheetId="2"/>
      <sheetData sheetId="3"/>
      <sheetData sheetId="4">
        <row r="2">
          <cell r="I2" t="str">
            <v>-</v>
          </cell>
        </row>
        <row r="3">
          <cell r="I3" t="e">
            <v>#NAME?</v>
          </cell>
        </row>
        <row r="4">
          <cell r="I4" t="e">
            <v>#NAME?</v>
          </cell>
        </row>
        <row r="5">
          <cell r="I5">
            <v>0.47</v>
          </cell>
        </row>
      </sheetData>
      <sheetData sheetId="5"/>
      <sheetData sheetId="6"/>
      <sheetData sheetId="7"/>
      <sheetData sheetId="8"/>
      <sheetData sheetId="9"/>
      <sheetData sheetId="10"/>
      <sheetData sheetId="11"/>
      <sheetData sheetId="12"/>
      <sheetData sheetId="13"/>
      <sheetData sheetId="14">
        <row r="30">
          <cell r="C30" t="str">
            <v>Option 1</v>
          </cell>
        </row>
      </sheetData>
      <sheetData sheetId="15"/>
      <sheetData sheetId="16">
        <row r="4">
          <cell r="B4">
            <v>5.6705100000000003E-8</v>
          </cell>
        </row>
        <row r="32">
          <cell r="B32">
            <v>7.2999999999999995E-2</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hange Log "/>
      <sheetName val="Workbook Description"/>
      <sheetName val="Thermal Control - Spherical"/>
      <sheetName val="MLI Design"/>
      <sheetName val="Thermal Control - Solar Array"/>
      <sheetName val="Modes"/>
      <sheetName val="MainTrade"/>
      <sheetName val="ProductTreeMain"/>
      <sheetName val="Constants"/>
      <sheetName val="Temp"/>
      <sheetName val="Db"/>
    </sheetNames>
    <sheetDataSet>
      <sheetData sheetId="0"/>
      <sheetData sheetId="1"/>
      <sheetData sheetId="2"/>
      <sheetData sheetId="3"/>
      <sheetData sheetId="4"/>
      <sheetData sheetId="5"/>
      <sheetData sheetId="6"/>
      <sheetData sheetId="7"/>
      <sheetData sheetId="8"/>
      <sheetData sheetId="9">
        <row r="4">
          <cell r="B4">
            <v>5.6705100000000003E-8</v>
          </cell>
        </row>
        <row r="18">
          <cell r="B18">
            <v>6378.1369999999997</v>
          </cell>
        </row>
        <row r="19">
          <cell r="B19">
            <v>398600.44179999997</v>
          </cell>
        </row>
      </sheetData>
      <sheetData sheetId="10"/>
      <sheetData sheetId="1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Workbook Description"/>
      <sheetName val="Change Log"/>
      <sheetName val="Thermal- Thermal Budget OCDT"/>
      <sheetName val="Thermal Budget and summary "/>
      <sheetName val="Thermal Control - Spherical"/>
      <sheetName val="MLI Design"/>
      <sheetName val="Thermal Control - Solar Array"/>
      <sheetName val="Modes"/>
      <sheetName val="Trade_off"/>
      <sheetName val="ProductTreeMain"/>
      <sheetName val="Constan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4">
          <cell r="B4">
            <v>5.6705100000000003E-8</v>
          </cell>
        </row>
        <row r="18">
          <cell r="B18">
            <v>1737</v>
          </cell>
        </row>
        <row r="19">
          <cell r="B19">
            <v>4902</v>
          </cell>
        </row>
        <row r="29">
          <cell r="B29">
            <v>1226</v>
          </cell>
        </row>
        <row r="30">
          <cell r="B30">
            <v>5.2</v>
          </cell>
        </row>
        <row r="32">
          <cell r="B32">
            <v>7.2999999999999995E-2</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Loris Franchi" refreshedDate="43399.423549189814" createdVersion="3" refreshedVersion="6" minRefreshableVersion="3" recordCount="1043">
  <cacheSource type="worksheet">
    <worksheetSource name="Range_default"/>
  </cacheSource>
  <cacheFields count="21">
    <cacheField name="Nested Element" numFmtId="0">
      <sharedItems containsBlank="1"/>
    </cacheField>
    <cacheField name="Parameter Group" numFmtId="0">
      <sharedItems containsBlank="1"/>
    </cacheField>
    <cacheField name="Parameter" numFmtId="0">
      <sharedItems containsBlank="1" count="35">
        <s v="_name_"/>
        <s v="diam"/>
        <s v="height"/>
        <s v="len"/>
        <s v="m"/>
        <s v="P"/>
        <s v="P_duty_cyc"/>
        <s v="redundancy.scheme"/>
        <s v="redundancy.type"/>
        <s v="redundancy.k"/>
        <s v="redundancy.n"/>
        <s v="Temp_oper_max"/>
        <s v="Temp_oper_min"/>
        <s v="TRL"/>
        <s v="wid"/>
        <s v="delta_v"/>
        <s v="mass_dry"/>
        <s v="mass_wet"/>
        <s v="bat_cap"/>
        <s v="bias_accel"/>
        <s v="bias_gyro"/>
        <s v="Vol"/>
        <s v="dur_eclipse"/>
        <s v="ɸ"/>
        <s v="T_d"/>
        <s v="n_items"/>
        <s v="prop_type"/>
        <s v="I_sp"/>
        <s v="Th"/>
        <s v="p_0"/>
        <s v="torq"/>
        <s v="area"/>
        <s v="know_pointing"/>
        <m/>
        <s v="P_peak" u="1"/>
      </sharedItems>
    </cacheField>
    <cacheField name="State" numFmtId="0">
      <sharedItems containsBlank="1"/>
    </cacheField>
    <cacheField name="Full Path" numFmtId="0">
      <sharedItems containsBlank="1"/>
    </cacheField>
    <cacheField name="Value" numFmtId="0">
      <sharedItems containsBlank="1" containsMixedTypes="1" containsNumber="1" minValue="-135" maxValue="25000000"/>
    </cacheField>
    <cacheField name="Margin (%)" numFmtId="0">
      <sharedItems containsBlank="1" containsMixedTypes="1" containsNumber="1" containsInteger="1" minValue="3" maxValue="20"/>
    </cacheField>
    <cacheField name="Margin" numFmtId="0">
      <sharedItems containsString="0" containsBlank="1" containsNumber="1" minValue="7.000000000000001E-3" maxValue="28"/>
    </cacheField>
    <cacheField name="Scale" numFmtId="0">
      <sharedItems containsBlank="1"/>
    </cacheField>
    <cacheField name="Parameter Owner" numFmtId="0">
      <sharedItems containsBlank="1"/>
    </cacheField>
    <cacheField name="Subscriber" numFmtId="0">
      <sharedItems containsBlank="1"/>
    </cacheField>
    <cacheField name="Element Owner" numFmtId="0">
      <sharedItems containsBlank="1"/>
    </cacheField>
    <cacheField name="Product/Function" numFmtId="0">
      <sharedItems containsBlank="1" count="3">
        <m/>
        <s v="Product"/>
        <s v="Function"/>
      </sharedItems>
    </cacheField>
    <cacheField name="Decomposition Level" numFmtId="0">
      <sharedItems containsString="0" containsBlank="1" containsNumber="1" containsInteger="1" minValue="1" maxValue="5"/>
    </cacheField>
    <cacheField name="Level 1" numFmtId="0">
      <sharedItems containsBlank="1"/>
    </cacheField>
    <cacheField name="Level 2" numFmtId="0">
      <sharedItems containsBlank="1"/>
    </cacheField>
    <cacheField name="Level 3" numFmtId="0">
      <sharedItems containsBlank="1" count="4">
        <m/>
        <s v="Eg_THE (Equipment THE)"/>
        <s v="Spacecraft (Spacecraft)"/>
        <s v="Trans_SSPA (Transmitter SSPA)"/>
      </sharedItems>
    </cacheField>
    <cacheField name="Level 4" numFmtId="0">
      <sharedItems containsBlank="1" count="56">
        <m/>
        <s v="ADS_B (ADS-B)"/>
        <s v="AIS (AIS)"/>
        <s v="ant_ADSB (ADS-B Antenna)"/>
        <s v="ant_ADSB_2 (ADS-B Antenna #2)"/>
        <s v="ant_ADSB_3 (ADS-B Antenna #3)"/>
        <s v="ant_ADSB_4 (ADS-B Antenna #4)"/>
        <s v="ant_ADSB_5 (ADS-B Antenna #5)"/>
        <s v="ant_ADSB_6 (ADS-B Antenna #6)"/>
        <s v="ant_AIS (AIS Antenna)"/>
        <s v="Ant_Dep_Gim (Antenna Deployment Gimbal)"/>
        <s v="Ant_Dep_Mec (Antenna Deployment Mechanism)"/>
        <s v="Ant_Downlink (Downlink Antenna)"/>
        <s v="AOGNCS (Attitude, Orbit, Guidance, Navigation Control Subsystem)"/>
        <s v="bat (Battery)"/>
        <s v="COMS (Communications Subsystem)"/>
        <s v="INSS (Instrument Subsystem)"/>
        <s v="MECS (Mechanism subsystem)"/>
        <s v="MIMU_1 (MEMS IMU #1)"/>
        <s v="MIMU_2 (MEMS IMU #2)"/>
        <s v="MMHTank (MMH_Tank)"/>
        <s v="NTOTank (NTO_Tank)"/>
        <s v="ObC (OnboardComputer)"/>
        <s v="Orbit (Orbit_Data)"/>
        <s v="pcdu (PCDU)"/>
        <s v="Pressnt (Pressurant)"/>
        <s v="PressTank (Pressure_Tanks)"/>
        <s v="Prop (Propellant)"/>
        <s v="PropPiping (Propulsion_Piping)"/>
        <s v="PROPS (Propulsion Subsystem)"/>
        <s v="PWRS (Power Subsystem)"/>
        <s v="RAD_1 (Radiator #1)"/>
        <s v="RAD_2 (Radiator #2)"/>
        <s v="RCSThr (RCS_Thrusters)"/>
        <s v="RMU (RMU)"/>
        <s v="RW_1 (Reaction Wheel #1)"/>
        <s v="RW_2 (Reaction Wheel #2)"/>
        <s v="RW_3 (Reaction Wheel #3)"/>
        <s v="RW_4 (Reaction Wheel #4)"/>
        <s v="sol_pan_1 (Solar Panel #1)"/>
        <s v="sol_pan_2 (Solar Panel #2)"/>
        <s v="Sol_Pan_Dep (Solar Panel Deployment)"/>
        <s v="Sol_Pan_Gim (Solar Panel Gimbal)"/>
        <s v="Sol_Pan_Hin (Solar Panel Hinges)"/>
        <s v="SS_ElecBox (Sun Sensor Electronics Box)"/>
        <s v="Star_trckr_1 (Star Tracker #1)"/>
        <s v="Star_trckr_2 (Star Tracker #2)"/>
        <s v="STRS (Structures Subsystem)"/>
        <s v="Sun_Snsr_1 (Sun Sensor #1)"/>
        <s v="Sun_Snsr_2 (Sun Sensor #2)"/>
        <s v="Sun_Snsr_3 (Sun Sensor #3)"/>
        <s v="Sun_Snsr_4 (Sun Sensor #4)"/>
        <s v="Sun_Snsr_5 (Sun Sensor #5)"/>
        <s v="Sun_Snsr_6 (Sun Sensor #6)"/>
        <s v="THES (Thermal Subsystem)"/>
        <s v="trans_TWTA (Transmitter TWTA)"/>
      </sharedItems>
    </cacheField>
    <cacheField name="Level 5" numFmtId="0">
      <sharedItems containsBlank="1"/>
    </cacheField>
    <cacheField name="WeightedMargin" numFmtId="0" formula="IF(Value&lt;&gt;0,Margin/Value*100,0)" databaseField="0"/>
    <cacheField name="TotalMass" numFmtId="0" formula="IFERROR(Margin,0)+IFERROR(Value,0)" databaseField="0"/>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043">
  <r>
    <s v="Mission"/>
    <m/>
    <x v="0"/>
    <m/>
    <s v="\Mission\_name_\\default"/>
    <s v="Mission"/>
    <m/>
    <m/>
    <m/>
    <s v="SYS"/>
    <m/>
    <s v="SYS"/>
    <x v="0"/>
    <n v="1"/>
    <s v="Mission (Mission)"/>
    <m/>
    <x v="0"/>
    <x v="0"/>
    <m/>
  </r>
  <r>
    <s v="Mission.Ground_Seg"/>
    <m/>
    <x v="0"/>
    <m/>
    <s v="\Mission.Ground_Seg\_name_\\default"/>
    <s v="Ground Segment"/>
    <m/>
    <m/>
    <m/>
    <s v="SYS"/>
    <m/>
    <s v="SYS"/>
    <x v="0"/>
    <n v="2"/>
    <s v="Mission (Mission)"/>
    <s v="Ground_Seg (Ground Segment)"/>
    <x v="0"/>
    <x v="0"/>
    <m/>
  </r>
  <r>
    <s v="Mission.Launch_Seg"/>
    <m/>
    <x v="0"/>
    <m/>
    <s v="\Mission.Launch_Seg\_name_\\default"/>
    <s v="Launch Segment"/>
    <m/>
    <m/>
    <m/>
    <s v="SYS"/>
    <m/>
    <s v="SYS"/>
    <x v="0"/>
    <n v="2"/>
    <s v="Mission (Mission)"/>
    <s v="Launch_Seg (Launch Segment)"/>
    <x v="0"/>
    <x v="0"/>
    <m/>
  </r>
  <r>
    <s v="Mission.Launch_Seg.Eg_THE"/>
    <m/>
    <x v="0"/>
    <m/>
    <s v="\Mission.Launch_Seg.Eg_THE\_name_\\default"/>
    <s v="Equipment THE"/>
    <m/>
    <m/>
    <m/>
    <s v="AOGNC"/>
    <m/>
    <s v="AOGNC"/>
    <x v="0"/>
    <n v="3"/>
    <s v="Mission (Mission)"/>
    <s v="Launch_Seg (Launch Segment)"/>
    <x v="1"/>
    <x v="0"/>
    <m/>
  </r>
  <r>
    <s v="Mission.Launch_Seg.Eg_THE"/>
    <s v="Dimensions"/>
    <x v="1"/>
    <m/>
    <s v="\Mission.Launch_Seg.Eg_THE\diam\\default"/>
    <s v="-"/>
    <m/>
    <m/>
    <s v="m"/>
    <s v="TC"/>
    <m/>
    <s v="TC"/>
    <x v="1"/>
    <n v="3"/>
    <s v="Mission (Mission)"/>
    <s v="Launch_Seg (Launch Segment)"/>
    <x v="1"/>
    <x v="0"/>
    <m/>
  </r>
  <r>
    <s v="Mission.Launch_Seg.Eg_THE"/>
    <s v="Dimensions"/>
    <x v="2"/>
    <m/>
    <s v="\Mission.Launch_Seg.Eg_THE\height\\default"/>
    <s v="-"/>
    <m/>
    <m/>
    <s v="m"/>
    <s v="TC"/>
    <m/>
    <s v="TC"/>
    <x v="1"/>
    <n v="3"/>
    <s v="Mission (Mission)"/>
    <s v="Launch_Seg (Launch Segment)"/>
    <x v="1"/>
    <x v="0"/>
    <m/>
  </r>
  <r>
    <s v="Mission.Launch_Seg.Eg_THE"/>
    <s v="Dimensions"/>
    <x v="3"/>
    <m/>
    <s v="\Mission.Launch_Seg.Eg_THE\len\\default"/>
    <s v="-"/>
    <m/>
    <m/>
    <s v="m"/>
    <s v="TC"/>
    <m/>
    <s v="TC"/>
    <x v="1"/>
    <n v="3"/>
    <s v="Mission (Mission)"/>
    <s v="Launch_Seg (Launch Segment)"/>
    <x v="1"/>
    <x v="0"/>
    <m/>
  </r>
  <r>
    <s v="Mission.Launch_Seg.Eg_THE"/>
    <m/>
    <x v="4"/>
    <m/>
    <s v="\Mission.Launch_Seg.Eg_THE\m\\default"/>
    <s v="-"/>
    <s v="-"/>
    <m/>
    <s v="kg"/>
    <s v="TC"/>
    <m/>
    <s v="TC"/>
    <x v="1"/>
    <n v="3"/>
    <s v="Mission (Mission)"/>
    <s v="Launch_Seg (Launch Segment)"/>
    <x v="1"/>
    <x v="0"/>
    <m/>
  </r>
  <r>
    <s v="Mission.Launch_Seg.Eg_THE"/>
    <m/>
    <x v="5"/>
    <m/>
    <s v="\Mission.Launch_Seg.Eg_THE\P\\default"/>
    <s v="-"/>
    <m/>
    <m/>
    <s v="W"/>
    <s v="TC"/>
    <m/>
    <s v="TC"/>
    <x v="1"/>
    <n v="3"/>
    <s v="Mission (Mission)"/>
    <s v="Launch_Seg (Launch Segment)"/>
    <x v="1"/>
    <x v="0"/>
    <m/>
  </r>
  <r>
    <s v="Mission.Launch_Seg.Eg_THE"/>
    <m/>
    <x v="6"/>
    <m/>
    <s v="\Mission.Launch_Seg.Eg_THE\P_duty_cyc\\default"/>
    <s v="-"/>
    <m/>
    <m/>
    <s v="-"/>
    <s v="TC"/>
    <m/>
    <s v="TC"/>
    <x v="1"/>
    <n v="3"/>
    <s v="Mission (Mission)"/>
    <s v="Launch_Seg (Launch Segment)"/>
    <x v="1"/>
    <x v="0"/>
    <m/>
  </r>
  <r>
    <s v="Mission.Launch_Seg.Eg_THE"/>
    <m/>
    <x v="7"/>
    <m/>
    <s v="\Mission.Launch_Seg.Eg_THE\redundancy.scheme\\default"/>
    <s v="-"/>
    <m/>
    <m/>
    <m/>
    <s v="TC"/>
    <m/>
    <s v="TC"/>
    <x v="1"/>
    <n v="3"/>
    <s v="Mission (Mission)"/>
    <s v="Launch_Seg (Launch Segment)"/>
    <x v="1"/>
    <x v="0"/>
    <m/>
  </r>
  <r>
    <s v="Mission.Launch_Seg.Eg_THE"/>
    <m/>
    <x v="8"/>
    <m/>
    <s v="\Mission.Launch_Seg.Eg_THE\redundancy.type\\default"/>
    <s v="-"/>
    <m/>
    <m/>
    <m/>
    <s v="TC"/>
    <m/>
    <s v="TC"/>
    <x v="1"/>
    <n v="3"/>
    <s v="Mission (Mission)"/>
    <s v="Launch_Seg (Launch Segment)"/>
    <x v="1"/>
    <x v="0"/>
    <m/>
  </r>
  <r>
    <s v="Mission.Launch_Seg.Eg_THE"/>
    <m/>
    <x v="9"/>
    <m/>
    <s v="\Mission.Launch_Seg.Eg_THE\redundancy.k\\default"/>
    <s v="-"/>
    <m/>
    <m/>
    <m/>
    <s v="TC"/>
    <m/>
    <s v="TC"/>
    <x v="1"/>
    <n v="3"/>
    <s v="Mission (Mission)"/>
    <s v="Launch_Seg (Launch Segment)"/>
    <x v="1"/>
    <x v="0"/>
    <m/>
  </r>
  <r>
    <s v="Mission.Launch_Seg.Eg_THE"/>
    <m/>
    <x v="10"/>
    <m/>
    <s v="\Mission.Launch_Seg.Eg_THE\redundancy.n\\default"/>
    <s v="-"/>
    <m/>
    <m/>
    <m/>
    <s v="TC"/>
    <m/>
    <s v="TC"/>
    <x v="1"/>
    <n v="3"/>
    <s v="Mission (Mission)"/>
    <s v="Launch_Seg (Launch Segment)"/>
    <x v="1"/>
    <x v="0"/>
    <m/>
  </r>
  <r>
    <s v="Mission.Launch_Seg.Eg_THE"/>
    <m/>
    <x v="11"/>
    <m/>
    <s v="\Mission.Launch_Seg.Eg_THE\Temp_oper_max\\default"/>
    <s v="-"/>
    <m/>
    <m/>
    <s v="°C"/>
    <s v="TC"/>
    <m/>
    <s v="TC"/>
    <x v="1"/>
    <n v="3"/>
    <s v="Mission (Mission)"/>
    <s v="Launch_Seg (Launch Segment)"/>
    <x v="1"/>
    <x v="0"/>
    <m/>
  </r>
  <r>
    <s v="Mission.Launch_Seg.Eg_THE"/>
    <m/>
    <x v="12"/>
    <m/>
    <s v="\Mission.Launch_Seg.Eg_THE\Temp_oper_min\\default"/>
    <s v="-"/>
    <m/>
    <m/>
    <s v="°C"/>
    <s v="TC"/>
    <m/>
    <s v="TC"/>
    <x v="1"/>
    <n v="3"/>
    <s v="Mission (Mission)"/>
    <s v="Launch_Seg (Launch Segment)"/>
    <x v="1"/>
    <x v="0"/>
    <m/>
  </r>
  <r>
    <s v="Mission.Launch_Seg.Eg_THE"/>
    <m/>
    <x v="13"/>
    <m/>
    <s v="\Mission.Launch_Seg.Eg_THE\TRL\\default"/>
    <s v="-"/>
    <m/>
    <m/>
    <m/>
    <s v="TC"/>
    <m/>
    <s v="TC"/>
    <x v="1"/>
    <n v="3"/>
    <s v="Mission (Mission)"/>
    <s v="Launch_Seg (Launch Segment)"/>
    <x v="1"/>
    <x v="0"/>
    <m/>
  </r>
  <r>
    <s v="Mission.Launch_Seg.Eg_THE"/>
    <s v="Dimensions"/>
    <x v="14"/>
    <m/>
    <s v="\Mission.Launch_Seg.Eg_THE\wid\\default"/>
    <s v="-"/>
    <m/>
    <m/>
    <s v="m"/>
    <s v="TC"/>
    <m/>
    <s v="TC"/>
    <x v="1"/>
    <n v="3"/>
    <s v="Mission (Mission)"/>
    <s v="Launch_Seg (Launch Segment)"/>
    <x v="1"/>
    <x v="0"/>
    <m/>
  </r>
  <r>
    <s v="Mission.Space_Seg"/>
    <m/>
    <x v="0"/>
    <m/>
    <s v="\Mission.Space_Seg\_name_\\default"/>
    <s v="Space Segment"/>
    <m/>
    <m/>
    <m/>
    <s v="SYS"/>
    <m/>
    <s v="SYS"/>
    <x v="0"/>
    <n v="2"/>
    <s v="Mission (Mission)"/>
    <s v="Space_Seg (Space Segment)"/>
    <x v="0"/>
    <x v="0"/>
    <m/>
  </r>
  <r>
    <s v="Mission.Space_Seg.Spacecraft"/>
    <m/>
    <x v="0"/>
    <m/>
    <s v="\Mission.Space_Seg.Spacecraft\_name_\\default"/>
    <s v="Spacecraft"/>
    <m/>
    <m/>
    <m/>
    <s v="SYS"/>
    <m/>
    <s v="SYS"/>
    <x v="0"/>
    <n v="3"/>
    <s v="Mission (Mission)"/>
    <s v="Space_Seg (Space Segment)"/>
    <x v="2"/>
    <x v="0"/>
    <m/>
  </r>
  <r>
    <s v="Mission.Space_Seg.Spacecraft"/>
    <m/>
    <x v="15"/>
    <m/>
    <s v="\Mission.Space_Seg.Spacecraft\delta_v\\default"/>
    <s v="-"/>
    <m/>
    <m/>
    <s v="m/s"/>
    <s v="SYS"/>
    <m/>
    <s v="SYS"/>
    <x v="2"/>
    <n v="3"/>
    <s v="Mission (Mission)"/>
    <s v="Space_Seg (Space Segment)"/>
    <x v="2"/>
    <x v="0"/>
    <m/>
  </r>
  <r>
    <s v="Mission.Space_Seg.Spacecraft"/>
    <m/>
    <x v="16"/>
    <m/>
    <s v="\Mission.Space_Seg.Spacecraft\mass_dry\\default"/>
    <e v="#NAME?"/>
    <m/>
    <m/>
    <s v="kg"/>
    <s v="SYS"/>
    <m/>
    <s v="SYS"/>
    <x v="2"/>
    <n v="3"/>
    <s v="Mission (Mission)"/>
    <s v="Space_Seg (Space Segment)"/>
    <x v="2"/>
    <x v="0"/>
    <m/>
  </r>
  <r>
    <s v="Mission.Space_Seg.Spacecraft"/>
    <m/>
    <x v="17"/>
    <m/>
    <s v="\Mission.Space_Seg.Spacecraft\mass_wet\\default"/>
    <e v="#NAME?"/>
    <m/>
    <m/>
    <s v="kg"/>
    <s v="SYS"/>
    <m/>
    <s v="SYS"/>
    <x v="2"/>
    <n v="3"/>
    <s v="Mission (Mission)"/>
    <s v="Space_Seg (Space Segment)"/>
    <x v="2"/>
    <x v="0"/>
    <m/>
  </r>
  <r>
    <s v="Mission.Space_Seg.Spacecraft.ADS_B"/>
    <m/>
    <x v="0"/>
    <m/>
    <s v="\Mission.Space_Seg.Spacecraft.ADS_B\_name_\\default"/>
    <s v="ADS-B"/>
    <m/>
    <m/>
    <m/>
    <s v="INS"/>
    <m/>
    <s v="INS"/>
    <x v="0"/>
    <n v="4"/>
    <s v="Mission (Mission)"/>
    <s v="Space_Seg (Space Segment)"/>
    <x v="2"/>
    <x v="1"/>
    <m/>
  </r>
  <r>
    <s v="Mission.Space_Seg.Spacecraft.ADS_B"/>
    <s v="Dimensions"/>
    <x v="1"/>
    <m/>
    <s v="\Mission.Space_Seg.Spacecraft.ADS_B\diam\\default"/>
    <s v="-"/>
    <m/>
    <m/>
    <s v="m"/>
    <s v="INS"/>
    <m/>
    <s v="INS"/>
    <x v="1"/>
    <n v="4"/>
    <s v="Mission (Mission)"/>
    <s v="Space_Seg (Space Segment)"/>
    <x v="2"/>
    <x v="1"/>
    <m/>
  </r>
  <r>
    <s v="Mission.Space_Seg.Spacecraft.ADS_B"/>
    <s v="Dimensions"/>
    <x v="2"/>
    <m/>
    <s v="\Mission.Space_Seg.Spacecraft.ADS_B\height\\default"/>
    <n v="0.3"/>
    <m/>
    <m/>
    <s v="m"/>
    <s v="INS"/>
    <m/>
    <s v="INS"/>
    <x v="1"/>
    <n v="4"/>
    <s v="Mission (Mission)"/>
    <s v="Space_Seg (Space Segment)"/>
    <x v="2"/>
    <x v="1"/>
    <m/>
  </r>
  <r>
    <s v="Mission.Space_Seg.Spacecraft.ADS_B"/>
    <s v="Dimensions"/>
    <x v="3"/>
    <m/>
    <s v="\Mission.Space_Seg.Spacecraft.ADS_B\len\\default"/>
    <n v="0.3"/>
    <m/>
    <m/>
    <s v="m"/>
    <s v="INS"/>
    <m/>
    <s v="INS"/>
    <x v="1"/>
    <n v="4"/>
    <s v="Mission (Mission)"/>
    <s v="Space_Seg (Space Segment)"/>
    <x v="2"/>
    <x v="1"/>
    <m/>
  </r>
  <r>
    <s v="Mission.Space_Seg.Spacecraft.ADS_B"/>
    <m/>
    <x v="4"/>
    <m/>
    <s v="\Mission.Space_Seg.Spacecraft.ADS_B\m\\default"/>
    <n v="100"/>
    <n v="5"/>
    <n v="5"/>
    <s v="kg"/>
    <s v="INS"/>
    <m/>
    <s v="INS"/>
    <x v="1"/>
    <n v="4"/>
    <s v="Mission (Mission)"/>
    <s v="Space_Seg (Space Segment)"/>
    <x v="2"/>
    <x v="1"/>
    <m/>
  </r>
  <r>
    <s v="Mission.Space_Seg.Spacecraft.ADS_B"/>
    <m/>
    <x v="5"/>
    <m/>
    <s v="\Mission.Space_Seg.Spacecraft.ADS_B\P\\default"/>
    <n v="140"/>
    <m/>
    <m/>
    <s v="W"/>
    <s v="INS"/>
    <m/>
    <s v="INS"/>
    <x v="1"/>
    <n v="4"/>
    <s v="Mission (Mission)"/>
    <s v="Space_Seg (Space Segment)"/>
    <x v="2"/>
    <x v="1"/>
    <m/>
  </r>
  <r>
    <s v="Mission.Space_Seg.Spacecraft.ADS_B"/>
    <m/>
    <x v="6"/>
    <s v="LAU"/>
    <s v="\Mission.Space_Seg.Spacecraft.ADS_B\P_duty_cyc\LAU\default"/>
    <n v="-1"/>
    <m/>
    <m/>
    <s v="-"/>
    <s v="INS"/>
    <m/>
    <s v="INS"/>
    <x v="1"/>
    <n v="4"/>
    <s v="Mission (Mission)"/>
    <s v="Space_Seg (Space Segment)"/>
    <x v="2"/>
    <x v="1"/>
    <m/>
  </r>
  <r>
    <s v="Mission.Space_Seg.Spacecraft.ADS_B"/>
    <m/>
    <x v="6"/>
    <s v="SAF"/>
    <s v="\Mission.Space_Seg.Spacecraft.ADS_B\P_duty_cyc\SAF\default"/>
    <n v="0"/>
    <m/>
    <m/>
    <s v="-"/>
    <s v="INS"/>
    <m/>
    <s v="INS"/>
    <x v="1"/>
    <n v="4"/>
    <s v="Mission (Mission)"/>
    <s v="Space_Seg (Space Segment)"/>
    <x v="2"/>
    <x v="1"/>
    <m/>
  </r>
  <r>
    <s v="Mission.Space_Seg.Spacecraft.ADS_B"/>
    <m/>
    <x v="6"/>
    <s v="OBS"/>
    <s v="\Mission.Space_Seg.Spacecraft.ADS_B\P_duty_cyc\OBS\default"/>
    <n v="1"/>
    <m/>
    <m/>
    <s v="-"/>
    <s v="INS"/>
    <m/>
    <s v="INS"/>
    <x v="1"/>
    <n v="4"/>
    <s v="Mission (Mission)"/>
    <s v="Space_Seg (Space Segment)"/>
    <x v="2"/>
    <x v="1"/>
    <m/>
  </r>
  <r>
    <s v="Mission.Space_Seg.Spacecraft.ADS_B"/>
    <m/>
    <x v="6"/>
    <s v="COM"/>
    <s v="\Mission.Space_Seg.Spacecraft.ADS_B\P_duty_cyc\COM\default"/>
    <n v="0"/>
    <m/>
    <m/>
    <s v="-"/>
    <s v="INS"/>
    <m/>
    <s v="INS"/>
    <x v="1"/>
    <n v="4"/>
    <s v="Mission (Mission)"/>
    <s v="Space_Seg (Space Segment)"/>
    <x v="2"/>
    <x v="1"/>
    <m/>
  </r>
  <r>
    <s v="Mission.Space_Seg.Spacecraft.ADS_B"/>
    <m/>
    <x v="6"/>
    <s v="INJ"/>
    <s v="\Mission.Space_Seg.Spacecraft.ADS_B\P_duty_cyc\INJ\default"/>
    <n v="-1"/>
    <m/>
    <m/>
    <s v="-"/>
    <s v="INS"/>
    <m/>
    <s v="INS"/>
    <x v="1"/>
    <n v="4"/>
    <s v="Mission (Mission)"/>
    <s v="Space_Seg (Space Segment)"/>
    <x v="2"/>
    <x v="1"/>
    <m/>
  </r>
  <r>
    <s v="Mission.Space_Seg.Spacecraft.ADS_B"/>
    <m/>
    <x v="6"/>
    <s v="CRU"/>
    <s v="\Mission.Space_Seg.Spacecraft.ADS_B\P_duty_cyc\CRU\default"/>
    <n v="0"/>
    <m/>
    <m/>
    <s v="-"/>
    <s v="INS"/>
    <m/>
    <s v="INS"/>
    <x v="1"/>
    <n v="4"/>
    <s v="Mission (Mission)"/>
    <s v="Space_Seg (Space Segment)"/>
    <x v="2"/>
    <x v="1"/>
    <m/>
  </r>
  <r>
    <s v="Mission.Space_Seg.Spacecraft.ADS_B"/>
    <m/>
    <x v="6"/>
    <s v="DEO"/>
    <s v="\Mission.Space_Seg.Spacecraft.ADS_B\P_duty_cyc\DEO\default"/>
    <n v="-1"/>
    <m/>
    <m/>
    <s v="-"/>
    <s v="INS"/>
    <m/>
    <s v="INS"/>
    <x v="1"/>
    <n v="4"/>
    <s v="Mission (Mission)"/>
    <s v="Space_Seg (Space Segment)"/>
    <x v="2"/>
    <x v="1"/>
    <m/>
  </r>
  <r>
    <s v="Mission.Space_Seg.Spacecraft.ADS_B"/>
    <m/>
    <x v="7"/>
    <m/>
    <s v="\Mission.Space_Seg.Spacecraft.ADS_B\redundancy.scheme\\default"/>
    <s v="-"/>
    <m/>
    <m/>
    <m/>
    <s v="INS"/>
    <m/>
    <s v="INS"/>
    <x v="1"/>
    <n v="4"/>
    <s v="Mission (Mission)"/>
    <s v="Space_Seg (Space Segment)"/>
    <x v="2"/>
    <x v="1"/>
    <m/>
  </r>
  <r>
    <s v="Mission.Space_Seg.Spacecraft.ADS_B"/>
    <m/>
    <x v="8"/>
    <m/>
    <s v="\Mission.Space_Seg.Spacecraft.ADS_B\redundancy.type\\default"/>
    <s v="-"/>
    <m/>
    <m/>
    <m/>
    <s v="INS"/>
    <m/>
    <s v="INS"/>
    <x v="1"/>
    <n v="4"/>
    <s v="Mission (Mission)"/>
    <s v="Space_Seg (Space Segment)"/>
    <x v="2"/>
    <x v="1"/>
    <m/>
  </r>
  <r>
    <s v="Mission.Space_Seg.Spacecraft.ADS_B"/>
    <m/>
    <x v="9"/>
    <m/>
    <s v="\Mission.Space_Seg.Spacecraft.ADS_B\redundancy.k\\default"/>
    <s v="-"/>
    <m/>
    <m/>
    <m/>
    <s v="INS"/>
    <m/>
    <s v="INS"/>
    <x v="1"/>
    <n v="4"/>
    <s v="Mission (Mission)"/>
    <s v="Space_Seg (Space Segment)"/>
    <x v="2"/>
    <x v="1"/>
    <m/>
  </r>
  <r>
    <s v="Mission.Space_Seg.Spacecraft.ADS_B"/>
    <m/>
    <x v="10"/>
    <m/>
    <s v="\Mission.Space_Seg.Spacecraft.ADS_B\redundancy.n\\default"/>
    <s v="-"/>
    <m/>
    <m/>
    <m/>
    <s v="INS"/>
    <m/>
    <s v="INS"/>
    <x v="1"/>
    <n v="4"/>
    <s v="Mission (Mission)"/>
    <s v="Space_Seg (Space Segment)"/>
    <x v="2"/>
    <x v="1"/>
    <m/>
  </r>
  <r>
    <s v="Mission.Space_Seg.Spacecraft.ADS_B"/>
    <m/>
    <x v="11"/>
    <m/>
    <s v="\Mission.Space_Seg.Spacecraft.ADS_B\Temp_oper_max\\default"/>
    <n v="60"/>
    <m/>
    <m/>
    <s v="°C"/>
    <s v="INS"/>
    <m/>
    <s v="INS"/>
    <x v="1"/>
    <n v="4"/>
    <s v="Mission (Mission)"/>
    <s v="Space_Seg (Space Segment)"/>
    <x v="2"/>
    <x v="1"/>
    <m/>
  </r>
  <r>
    <s v="Mission.Space_Seg.Spacecraft.ADS_B"/>
    <m/>
    <x v="12"/>
    <m/>
    <s v="\Mission.Space_Seg.Spacecraft.ADS_B\Temp_oper_min\\default"/>
    <n v="-40"/>
    <m/>
    <m/>
    <s v="°C"/>
    <s v="INS"/>
    <m/>
    <s v="INS"/>
    <x v="1"/>
    <n v="4"/>
    <s v="Mission (Mission)"/>
    <s v="Space_Seg (Space Segment)"/>
    <x v="2"/>
    <x v="1"/>
    <m/>
  </r>
  <r>
    <s v="Mission.Space_Seg.Spacecraft.ADS_B"/>
    <m/>
    <x v="13"/>
    <m/>
    <s v="\Mission.Space_Seg.Spacecraft.ADS_B\TRL\\default"/>
    <n v="9"/>
    <m/>
    <m/>
    <m/>
    <s v="INS"/>
    <m/>
    <s v="INS"/>
    <x v="1"/>
    <n v="4"/>
    <s v="Mission (Mission)"/>
    <s v="Space_Seg (Space Segment)"/>
    <x v="2"/>
    <x v="1"/>
    <m/>
  </r>
  <r>
    <s v="Mission.Space_Seg.Spacecraft.ADS_B"/>
    <s v="Dimensions"/>
    <x v="14"/>
    <m/>
    <s v="\Mission.Space_Seg.Spacecraft.ADS_B\wid\\default"/>
    <n v="0.6"/>
    <m/>
    <m/>
    <s v="m"/>
    <s v="INS"/>
    <m/>
    <s v="INS"/>
    <x v="1"/>
    <n v="4"/>
    <s v="Mission (Mission)"/>
    <s v="Space_Seg (Space Segment)"/>
    <x v="2"/>
    <x v="1"/>
    <m/>
  </r>
  <r>
    <s v="Mission.Space_Seg.Spacecraft.AIS"/>
    <m/>
    <x v="0"/>
    <m/>
    <s v="\Mission.Space_Seg.Spacecraft.AIS\_name_\\default"/>
    <s v="AIS"/>
    <m/>
    <m/>
    <m/>
    <s v="SYS"/>
    <m/>
    <s v="SYS"/>
    <x v="0"/>
    <n v="4"/>
    <s v="Mission (Mission)"/>
    <s v="Space_Seg (Space Segment)"/>
    <x v="2"/>
    <x v="2"/>
    <m/>
  </r>
  <r>
    <s v="Mission.Space_Seg.Spacecraft.AIS"/>
    <s v="Dimensions"/>
    <x v="1"/>
    <m/>
    <s v="\Mission.Space_Seg.Spacecraft.AIS\diam\\default"/>
    <s v="-"/>
    <m/>
    <m/>
    <s v="m"/>
    <s v="INS"/>
    <m/>
    <s v="INS"/>
    <x v="1"/>
    <n v="4"/>
    <s v="Mission (Mission)"/>
    <s v="Space_Seg (Space Segment)"/>
    <x v="2"/>
    <x v="2"/>
    <m/>
  </r>
  <r>
    <s v="Mission.Space_Seg.Spacecraft.AIS"/>
    <s v="Dimensions"/>
    <x v="2"/>
    <m/>
    <s v="\Mission.Space_Seg.Spacecraft.AIS\height\\default"/>
    <n v="0.05"/>
    <m/>
    <m/>
    <s v="m"/>
    <s v="INS"/>
    <m/>
    <s v="INS"/>
    <x v="1"/>
    <n v="4"/>
    <s v="Mission (Mission)"/>
    <s v="Space_Seg (Space Segment)"/>
    <x v="2"/>
    <x v="2"/>
    <m/>
  </r>
  <r>
    <s v="Mission.Space_Seg.Spacecraft.AIS"/>
    <s v="Dimensions"/>
    <x v="3"/>
    <m/>
    <s v="\Mission.Space_Seg.Spacecraft.AIS\len\\default"/>
    <n v="0.14000000000000001"/>
    <m/>
    <m/>
    <s v="m"/>
    <s v="INS"/>
    <m/>
    <s v="INS"/>
    <x v="1"/>
    <n v="4"/>
    <s v="Mission (Mission)"/>
    <s v="Space_Seg (Space Segment)"/>
    <x v="2"/>
    <x v="2"/>
    <m/>
  </r>
  <r>
    <s v="Mission.Space_Seg.Spacecraft.AIS"/>
    <m/>
    <x v="4"/>
    <m/>
    <s v="\Mission.Space_Seg.Spacecraft.AIS\m\\default"/>
    <n v="2"/>
    <n v="5"/>
    <n v="0.1"/>
    <s v="kg"/>
    <s v="INS"/>
    <m/>
    <s v="INS"/>
    <x v="1"/>
    <n v="4"/>
    <s v="Mission (Mission)"/>
    <s v="Space_Seg (Space Segment)"/>
    <x v="2"/>
    <x v="2"/>
    <m/>
  </r>
  <r>
    <s v="Mission.Space_Seg.Spacecraft.AIS"/>
    <m/>
    <x v="5"/>
    <m/>
    <s v="\Mission.Space_Seg.Spacecraft.AIS\P\\default"/>
    <n v="10"/>
    <m/>
    <m/>
    <s v="W"/>
    <s v="INS"/>
    <m/>
    <s v="INS"/>
    <x v="1"/>
    <n v="4"/>
    <s v="Mission (Mission)"/>
    <s v="Space_Seg (Space Segment)"/>
    <x v="2"/>
    <x v="2"/>
    <m/>
  </r>
  <r>
    <s v="Mission.Space_Seg.Spacecraft.AIS"/>
    <m/>
    <x v="6"/>
    <s v="LAU"/>
    <s v="\Mission.Space_Seg.Spacecraft.AIS\P_duty_cyc\LAU\default"/>
    <n v="-1"/>
    <m/>
    <m/>
    <s v="-"/>
    <s v="INS"/>
    <m/>
    <s v="INS"/>
    <x v="1"/>
    <n v="4"/>
    <s v="Mission (Mission)"/>
    <s v="Space_Seg (Space Segment)"/>
    <x v="2"/>
    <x v="2"/>
    <m/>
  </r>
  <r>
    <s v="Mission.Space_Seg.Spacecraft.AIS"/>
    <m/>
    <x v="6"/>
    <s v="SAF"/>
    <s v="\Mission.Space_Seg.Spacecraft.AIS\P_duty_cyc\SAF\default"/>
    <n v="0"/>
    <m/>
    <m/>
    <s v="-"/>
    <s v="INS"/>
    <m/>
    <s v="INS"/>
    <x v="1"/>
    <n v="4"/>
    <s v="Mission (Mission)"/>
    <s v="Space_Seg (Space Segment)"/>
    <x v="2"/>
    <x v="2"/>
    <m/>
  </r>
  <r>
    <s v="Mission.Space_Seg.Spacecraft.AIS"/>
    <m/>
    <x v="6"/>
    <s v="OBS"/>
    <s v="\Mission.Space_Seg.Spacecraft.AIS\P_duty_cyc\OBS\default"/>
    <n v="1"/>
    <m/>
    <m/>
    <s v="-"/>
    <s v="INS"/>
    <m/>
    <s v="INS"/>
    <x v="1"/>
    <n v="4"/>
    <s v="Mission (Mission)"/>
    <s v="Space_Seg (Space Segment)"/>
    <x v="2"/>
    <x v="2"/>
    <m/>
  </r>
  <r>
    <s v="Mission.Space_Seg.Spacecraft.AIS"/>
    <m/>
    <x v="6"/>
    <s v="COM"/>
    <s v="\Mission.Space_Seg.Spacecraft.AIS\P_duty_cyc\COM\default"/>
    <n v="0"/>
    <m/>
    <m/>
    <s v="-"/>
    <s v="INS"/>
    <m/>
    <s v="INS"/>
    <x v="1"/>
    <n v="4"/>
    <s v="Mission (Mission)"/>
    <s v="Space_Seg (Space Segment)"/>
    <x v="2"/>
    <x v="2"/>
    <m/>
  </r>
  <r>
    <s v="Mission.Space_Seg.Spacecraft.AIS"/>
    <m/>
    <x v="6"/>
    <s v="INJ"/>
    <s v="\Mission.Space_Seg.Spacecraft.AIS\P_duty_cyc\INJ\default"/>
    <n v="-1"/>
    <m/>
    <m/>
    <s v="-"/>
    <s v="INS"/>
    <m/>
    <s v="INS"/>
    <x v="1"/>
    <n v="4"/>
    <s v="Mission (Mission)"/>
    <s v="Space_Seg (Space Segment)"/>
    <x v="2"/>
    <x v="2"/>
    <m/>
  </r>
  <r>
    <s v="Mission.Space_Seg.Spacecraft.AIS"/>
    <m/>
    <x v="6"/>
    <s v="CRU"/>
    <s v="\Mission.Space_Seg.Spacecraft.AIS\P_duty_cyc\CRU\default"/>
    <n v="0"/>
    <m/>
    <m/>
    <s v="-"/>
    <s v="INS"/>
    <m/>
    <s v="INS"/>
    <x v="1"/>
    <n v="4"/>
    <s v="Mission (Mission)"/>
    <s v="Space_Seg (Space Segment)"/>
    <x v="2"/>
    <x v="2"/>
    <m/>
  </r>
  <r>
    <s v="Mission.Space_Seg.Spacecraft.AIS"/>
    <m/>
    <x v="6"/>
    <s v="DEO"/>
    <s v="\Mission.Space_Seg.Spacecraft.AIS\P_duty_cyc\DEO\default"/>
    <n v="-1"/>
    <m/>
    <m/>
    <s v="-"/>
    <s v="INS"/>
    <m/>
    <s v="INS"/>
    <x v="1"/>
    <n v="4"/>
    <s v="Mission (Mission)"/>
    <s v="Space_Seg (Space Segment)"/>
    <x v="2"/>
    <x v="2"/>
    <m/>
  </r>
  <r>
    <s v="Mission.Space_Seg.Spacecraft.AIS"/>
    <m/>
    <x v="7"/>
    <m/>
    <s v="\Mission.Space_Seg.Spacecraft.AIS\redundancy.scheme\\default"/>
    <s v="-"/>
    <m/>
    <m/>
    <m/>
    <s v="INS"/>
    <m/>
    <s v="INS"/>
    <x v="1"/>
    <n v="4"/>
    <s v="Mission (Mission)"/>
    <s v="Space_Seg (Space Segment)"/>
    <x v="2"/>
    <x v="2"/>
    <m/>
  </r>
  <r>
    <s v="Mission.Space_Seg.Spacecraft.AIS"/>
    <m/>
    <x v="8"/>
    <m/>
    <s v="\Mission.Space_Seg.Spacecraft.AIS\redundancy.type\\default"/>
    <s v="-"/>
    <m/>
    <m/>
    <m/>
    <s v="INS"/>
    <m/>
    <s v="INS"/>
    <x v="1"/>
    <n v="4"/>
    <s v="Mission (Mission)"/>
    <s v="Space_Seg (Space Segment)"/>
    <x v="2"/>
    <x v="2"/>
    <m/>
  </r>
  <r>
    <s v="Mission.Space_Seg.Spacecraft.AIS"/>
    <m/>
    <x v="9"/>
    <m/>
    <s v="\Mission.Space_Seg.Spacecraft.AIS\redundancy.k\\default"/>
    <s v="-"/>
    <m/>
    <m/>
    <m/>
    <s v="INS"/>
    <m/>
    <s v="INS"/>
    <x v="1"/>
    <n v="4"/>
    <s v="Mission (Mission)"/>
    <s v="Space_Seg (Space Segment)"/>
    <x v="2"/>
    <x v="2"/>
    <m/>
  </r>
  <r>
    <s v="Mission.Space_Seg.Spacecraft.AIS"/>
    <m/>
    <x v="10"/>
    <m/>
    <s v="\Mission.Space_Seg.Spacecraft.AIS\redundancy.n\\default"/>
    <s v="-"/>
    <m/>
    <m/>
    <m/>
    <s v="INS"/>
    <m/>
    <s v="INS"/>
    <x v="1"/>
    <n v="4"/>
    <s v="Mission (Mission)"/>
    <s v="Space_Seg (Space Segment)"/>
    <x v="2"/>
    <x v="2"/>
    <m/>
  </r>
  <r>
    <s v="Mission.Space_Seg.Spacecraft.AIS"/>
    <m/>
    <x v="11"/>
    <m/>
    <s v="\Mission.Space_Seg.Spacecraft.AIS\Temp_oper_max\\default"/>
    <n v="60"/>
    <m/>
    <m/>
    <s v="°C"/>
    <s v="INS"/>
    <m/>
    <s v="INS"/>
    <x v="1"/>
    <n v="4"/>
    <s v="Mission (Mission)"/>
    <s v="Space_Seg (Space Segment)"/>
    <x v="2"/>
    <x v="2"/>
    <m/>
  </r>
  <r>
    <s v="Mission.Space_Seg.Spacecraft.AIS"/>
    <m/>
    <x v="12"/>
    <m/>
    <s v="\Mission.Space_Seg.Spacecraft.AIS\Temp_oper_min\\default"/>
    <n v="-40"/>
    <m/>
    <m/>
    <s v="°C"/>
    <s v="INS"/>
    <m/>
    <s v="INS"/>
    <x v="1"/>
    <n v="4"/>
    <s v="Mission (Mission)"/>
    <s v="Space_Seg (Space Segment)"/>
    <x v="2"/>
    <x v="2"/>
    <m/>
  </r>
  <r>
    <s v="Mission.Space_Seg.Spacecraft.AIS"/>
    <m/>
    <x v="13"/>
    <m/>
    <s v="\Mission.Space_Seg.Spacecraft.AIS\TRL\\default"/>
    <n v="9"/>
    <m/>
    <m/>
    <m/>
    <s v="INS"/>
    <m/>
    <s v="INS"/>
    <x v="1"/>
    <n v="4"/>
    <s v="Mission (Mission)"/>
    <s v="Space_Seg (Space Segment)"/>
    <x v="2"/>
    <x v="2"/>
    <m/>
  </r>
  <r>
    <s v="Mission.Space_Seg.Spacecraft.AIS"/>
    <s v="Dimensions"/>
    <x v="14"/>
    <m/>
    <s v="\Mission.Space_Seg.Spacecraft.AIS\wid\\default"/>
    <n v="0.17"/>
    <m/>
    <m/>
    <s v="m"/>
    <s v="INS"/>
    <m/>
    <s v="INS"/>
    <x v="1"/>
    <n v="4"/>
    <s v="Mission (Mission)"/>
    <s v="Space_Seg (Space Segment)"/>
    <x v="2"/>
    <x v="2"/>
    <m/>
  </r>
  <r>
    <s v="Mission.Space_Seg.Spacecraft.ant_ADSB"/>
    <m/>
    <x v="0"/>
    <m/>
    <s v="\Mission.Space_Seg.Spacecraft.ant_ADSB\_name_\\default"/>
    <s v="ADS-B Antenna"/>
    <m/>
    <m/>
    <m/>
    <s v="COM"/>
    <m/>
    <s v="COM"/>
    <x v="0"/>
    <n v="4"/>
    <s v="Mission (Mission)"/>
    <s v="Space_Seg (Space Segment)"/>
    <x v="2"/>
    <x v="3"/>
    <m/>
  </r>
  <r>
    <s v="Mission.Space_Seg.Spacecraft.ant_ADSB"/>
    <s v="Dimensions"/>
    <x v="1"/>
    <m/>
    <s v="\Mission.Space_Seg.Spacecraft.ant_ADSB\diam\\default"/>
    <s v="-"/>
    <m/>
    <m/>
    <s v="m"/>
    <s v="COM"/>
    <m/>
    <s v="COM"/>
    <x v="1"/>
    <n v="4"/>
    <s v="Mission (Mission)"/>
    <s v="Space_Seg (Space Segment)"/>
    <x v="2"/>
    <x v="3"/>
    <m/>
  </r>
  <r>
    <s v="Mission.Space_Seg.Spacecraft.ant_ADSB"/>
    <s v="Dimensions"/>
    <x v="2"/>
    <m/>
    <s v="\Mission.Space_Seg.Spacecraft.ant_ADSB\height\\default"/>
    <s v="-"/>
    <m/>
    <m/>
    <s v="m"/>
    <s v="COM"/>
    <m/>
    <s v="COM"/>
    <x v="1"/>
    <n v="4"/>
    <s v="Mission (Mission)"/>
    <s v="Space_Seg (Space Segment)"/>
    <x v="2"/>
    <x v="3"/>
    <m/>
  </r>
  <r>
    <s v="Mission.Space_Seg.Spacecraft.ant_ADSB"/>
    <s v="Dimensions"/>
    <x v="3"/>
    <m/>
    <s v="\Mission.Space_Seg.Spacecraft.ant_ADSB\len\\default"/>
    <s v="-"/>
    <m/>
    <m/>
    <s v="m"/>
    <s v="COM"/>
    <m/>
    <s v="COM"/>
    <x v="1"/>
    <n v="4"/>
    <s v="Mission (Mission)"/>
    <s v="Space_Seg (Space Segment)"/>
    <x v="2"/>
    <x v="3"/>
    <m/>
  </r>
  <r>
    <s v="Mission.Space_Seg.Spacecraft.ant_ADSB"/>
    <m/>
    <x v="4"/>
    <m/>
    <s v="\Mission.Space_Seg.Spacecraft.ant_ADSB\m\\default"/>
    <n v="5"/>
    <n v="20"/>
    <n v="1"/>
    <s v="kg"/>
    <s v="COM"/>
    <m/>
    <s v="COM"/>
    <x v="1"/>
    <n v="4"/>
    <s v="Mission (Mission)"/>
    <s v="Space_Seg (Space Segment)"/>
    <x v="2"/>
    <x v="3"/>
    <m/>
  </r>
  <r>
    <s v="Mission.Space_Seg.Spacecraft.ant_ADSB"/>
    <m/>
    <x v="5"/>
    <m/>
    <s v="\Mission.Space_Seg.Spacecraft.ant_ADSB\P\\default"/>
    <s v="-"/>
    <m/>
    <m/>
    <s v="W"/>
    <s v="COM"/>
    <m/>
    <s v="COM"/>
    <x v="1"/>
    <n v="4"/>
    <s v="Mission (Mission)"/>
    <s v="Space_Seg (Space Segment)"/>
    <x v="2"/>
    <x v="3"/>
    <m/>
  </r>
  <r>
    <s v="Mission.Space_Seg.Spacecraft.ant_ADSB"/>
    <m/>
    <x v="6"/>
    <m/>
    <s v="\Mission.Space_Seg.Spacecraft.ant_ADSB\P_duty_cyc\\default"/>
    <s v="-"/>
    <m/>
    <m/>
    <s v="-"/>
    <s v="COM"/>
    <m/>
    <s v="COM"/>
    <x v="1"/>
    <n v="4"/>
    <s v="Mission (Mission)"/>
    <s v="Space_Seg (Space Segment)"/>
    <x v="2"/>
    <x v="3"/>
    <m/>
  </r>
  <r>
    <s v="Mission.Space_Seg.Spacecraft.ant_ADSB"/>
    <m/>
    <x v="7"/>
    <m/>
    <s v="\Mission.Space_Seg.Spacecraft.ant_ADSB\redundancy.scheme\\default"/>
    <s v="-"/>
    <m/>
    <m/>
    <m/>
    <s v="COM"/>
    <m/>
    <s v="COM"/>
    <x v="1"/>
    <n v="4"/>
    <s v="Mission (Mission)"/>
    <s v="Space_Seg (Space Segment)"/>
    <x v="2"/>
    <x v="3"/>
    <m/>
  </r>
  <r>
    <s v="Mission.Space_Seg.Spacecraft.ant_ADSB"/>
    <m/>
    <x v="8"/>
    <m/>
    <s v="\Mission.Space_Seg.Spacecraft.ant_ADSB\redundancy.type\\default"/>
    <s v="-"/>
    <m/>
    <m/>
    <m/>
    <s v="COM"/>
    <m/>
    <s v="COM"/>
    <x v="1"/>
    <n v="4"/>
    <s v="Mission (Mission)"/>
    <s v="Space_Seg (Space Segment)"/>
    <x v="2"/>
    <x v="3"/>
    <m/>
  </r>
  <r>
    <s v="Mission.Space_Seg.Spacecraft.ant_ADSB"/>
    <m/>
    <x v="9"/>
    <m/>
    <s v="\Mission.Space_Seg.Spacecraft.ant_ADSB\redundancy.k\\default"/>
    <s v="-"/>
    <m/>
    <m/>
    <m/>
    <s v="COM"/>
    <m/>
    <s v="COM"/>
    <x v="1"/>
    <n v="4"/>
    <s v="Mission (Mission)"/>
    <s v="Space_Seg (Space Segment)"/>
    <x v="2"/>
    <x v="3"/>
    <m/>
  </r>
  <r>
    <s v="Mission.Space_Seg.Spacecraft.ant_ADSB"/>
    <m/>
    <x v="10"/>
    <m/>
    <s v="\Mission.Space_Seg.Spacecraft.ant_ADSB\redundancy.n\\default"/>
    <s v="-"/>
    <m/>
    <m/>
    <m/>
    <s v="COM"/>
    <m/>
    <s v="COM"/>
    <x v="1"/>
    <n v="4"/>
    <s v="Mission (Mission)"/>
    <s v="Space_Seg (Space Segment)"/>
    <x v="2"/>
    <x v="3"/>
    <m/>
  </r>
  <r>
    <s v="Mission.Space_Seg.Spacecraft.ant_ADSB"/>
    <m/>
    <x v="11"/>
    <m/>
    <s v="\Mission.Space_Seg.Spacecraft.ant_ADSB\Temp_oper_max\\default"/>
    <n v="60"/>
    <m/>
    <m/>
    <s v="°C"/>
    <s v="COM"/>
    <m/>
    <s v="COM"/>
    <x v="1"/>
    <n v="4"/>
    <s v="Mission (Mission)"/>
    <s v="Space_Seg (Space Segment)"/>
    <x v="2"/>
    <x v="3"/>
    <m/>
  </r>
  <r>
    <s v="Mission.Space_Seg.Spacecraft.ant_ADSB"/>
    <m/>
    <x v="12"/>
    <m/>
    <s v="\Mission.Space_Seg.Spacecraft.ant_ADSB\Temp_oper_min\\default"/>
    <n v="-40"/>
    <m/>
    <m/>
    <s v="°C"/>
    <s v="COM"/>
    <m/>
    <s v="COM"/>
    <x v="1"/>
    <n v="4"/>
    <s v="Mission (Mission)"/>
    <s v="Space_Seg (Space Segment)"/>
    <x v="2"/>
    <x v="3"/>
    <m/>
  </r>
  <r>
    <s v="Mission.Space_Seg.Spacecraft.ant_ADSB"/>
    <m/>
    <x v="13"/>
    <m/>
    <s v="\Mission.Space_Seg.Spacecraft.ant_ADSB\TRL\\default"/>
    <s v="-"/>
    <m/>
    <m/>
    <m/>
    <s v="COM"/>
    <m/>
    <s v="COM"/>
    <x v="1"/>
    <n v="4"/>
    <s v="Mission (Mission)"/>
    <s v="Space_Seg (Space Segment)"/>
    <x v="2"/>
    <x v="3"/>
    <m/>
  </r>
  <r>
    <s v="Mission.Space_Seg.Spacecraft.ant_ADSB"/>
    <s v="Dimensions"/>
    <x v="14"/>
    <m/>
    <s v="\Mission.Space_Seg.Spacecraft.ant_ADSB\wid\\default"/>
    <s v="-"/>
    <m/>
    <m/>
    <s v="m"/>
    <s v="COM"/>
    <m/>
    <s v="COM"/>
    <x v="1"/>
    <n v="4"/>
    <s v="Mission (Mission)"/>
    <s v="Space_Seg (Space Segment)"/>
    <x v="2"/>
    <x v="3"/>
    <m/>
  </r>
  <r>
    <s v="Mission.Space_Seg.Spacecraft.ant_ADSB_2"/>
    <m/>
    <x v="0"/>
    <m/>
    <s v="\Mission.Space_Seg.Spacecraft.ant_ADSB_2\_name_\\default"/>
    <s v="ADS-B Antenna #2"/>
    <m/>
    <m/>
    <m/>
    <s v="COM"/>
    <m/>
    <s v="COM"/>
    <x v="0"/>
    <n v="4"/>
    <s v="Mission (Mission)"/>
    <s v="Space_Seg (Space Segment)"/>
    <x v="2"/>
    <x v="4"/>
    <m/>
  </r>
  <r>
    <s v="Mission.Space_Seg.Spacecraft.ant_ADSB_2"/>
    <s v="Dimensions"/>
    <x v="1"/>
    <m/>
    <s v="\Mission.Space_Seg.Spacecraft.ant_ADSB_2\diam\\default"/>
    <s v="-"/>
    <m/>
    <m/>
    <s v="m"/>
    <s v="COM"/>
    <m/>
    <s v="COM"/>
    <x v="1"/>
    <n v="4"/>
    <s v="Mission (Mission)"/>
    <s v="Space_Seg (Space Segment)"/>
    <x v="2"/>
    <x v="4"/>
    <m/>
  </r>
  <r>
    <s v="Mission.Space_Seg.Spacecraft.ant_ADSB_2"/>
    <s v="Dimensions"/>
    <x v="2"/>
    <m/>
    <s v="\Mission.Space_Seg.Spacecraft.ant_ADSB_2\height\\default"/>
    <s v="-"/>
    <m/>
    <m/>
    <s v="m"/>
    <s v="COM"/>
    <m/>
    <s v="COM"/>
    <x v="1"/>
    <n v="4"/>
    <s v="Mission (Mission)"/>
    <s v="Space_Seg (Space Segment)"/>
    <x v="2"/>
    <x v="4"/>
    <m/>
  </r>
  <r>
    <s v="Mission.Space_Seg.Spacecraft.ant_ADSB_2"/>
    <s v="Dimensions"/>
    <x v="3"/>
    <m/>
    <s v="\Mission.Space_Seg.Spacecraft.ant_ADSB_2\len\\default"/>
    <s v="-"/>
    <m/>
    <m/>
    <s v="m"/>
    <s v="COM"/>
    <m/>
    <s v="COM"/>
    <x v="1"/>
    <n v="4"/>
    <s v="Mission (Mission)"/>
    <s v="Space_Seg (Space Segment)"/>
    <x v="2"/>
    <x v="4"/>
    <m/>
  </r>
  <r>
    <s v="Mission.Space_Seg.Spacecraft.ant_ADSB_2"/>
    <m/>
    <x v="4"/>
    <m/>
    <s v="\Mission.Space_Seg.Spacecraft.ant_ADSB_2\m\\default"/>
    <n v="5"/>
    <n v="20"/>
    <n v="1"/>
    <s v="kg"/>
    <s v="COM"/>
    <m/>
    <s v="COM"/>
    <x v="1"/>
    <n v="4"/>
    <s v="Mission (Mission)"/>
    <s v="Space_Seg (Space Segment)"/>
    <x v="2"/>
    <x v="4"/>
    <m/>
  </r>
  <r>
    <s v="Mission.Space_Seg.Spacecraft.ant_ADSB_2"/>
    <m/>
    <x v="5"/>
    <m/>
    <s v="\Mission.Space_Seg.Spacecraft.ant_ADSB_2\P\\default"/>
    <s v="-"/>
    <m/>
    <m/>
    <s v="W"/>
    <s v="COM"/>
    <m/>
    <s v="COM"/>
    <x v="1"/>
    <n v="4"/>
    <s v="Mission (Mission)"/>
    <s v="Space_Seg (Space Segment)"/>
    <x v="2"/>
    <x v="4"/>
    <m/>
  </r>
  <r>
    <s v="Mission.Space_Seg.Spacecraft.ant_ADSB_2"/>
    <m/>
    <x v="6"/>
    <m/>
    <s v="\Mission.Space_Seg.Spacecraft.ant_ADSB_2\P_duty_cyc\\default"/>
    <s v="-"/>
    <m/>
    <m/>
    <s v="-"/>
    <s v="COM"/>
    <m/>
    <s v="COM"/>
    <x v="1"/>
    <n v="4"/>
    <s v="Mission (Mission)"/>
    <s v="Space_Seg (Space Segment)"/>
    <x v="2"/>
    <x v="4"/>
    <m/>
  </r>
  <r>
    <s v="Mission.Space_Seg.Spacecraft.ant_ADSB_2"/>
    <m/>
    <x v="7"/>
    <m/>
    <s v="\Mission.Space_Seg.Spacecraft.ant_ADSB_2\redundancy.scheme\\default"/>
    <s v="-"/>
    <m/>
    <m/>
    <m/>
    <s v="COM"/>
    <m/>
    <s v="COM"/>
    <x v="1"/>
    <n v="4"/>
    <s v="Mission (Mission)"/>
    <s v="Space_Seg (Space Segment)"/>
    <x v="2"/>
    <x v="4"/>
    <m/>
  </r>
  <r>
    <s v="Mission.Space_Seg.Spacecraft.ant_ADSB_2"/>
    <m/>
    <x v="8"/>
    <m/>
    <s v="\Mission.Space_Seg.Spacecraft.ant_ADSB_2\redundancy.type\\default"/>
    <s v="-"/>
    <m/>
    <m/>
    <m/>
    <s v="COM"/>
    <m/>
    <s v="COM"/>
    <x v="1"/>
    <n v="4"/>
    <s v="Mission (Mission)"/>
    <s v="Space_Seg (Space Segment)"/>
    <x v="2"/>
    <x v="4"/>
    <m/>
  </r>
  <r>
    <s v="Mission.Space_Seg.Spacecraft.ant_ADSB_2"/>
    <m/>
    <x v="9"/>
    <m/>
    <s v="\Mission.Space_Seg.Spacecraft.ant_ADSB_2\redundancy.k\\default"/>
    <s v="-"/>
    <m/>
    <m/>
    <m/>
    <s v="COM"/>
    <m/>
    <s v="COM"/>
    <x v="1"/>
    <n v="4"/>
    <s v="Mission (Mission)"/>
    <s v="Space_Seg (Space Segment)"/>
    <x v="2"/>
    <x v="4"/>
    <m/>
  </r>
  <r>
    <s v="Mission.Space_Seg.Spacecraft.ant_ADSB_2"/>
    <m/>
    <x v="10"/>
    <m/>
    <s v="\Mission.Space_Seg.Spacecraft.ant_ADSB_2\redundancy.n\\default"/>
    <s v="-"/>
    <m/>
    <m/>
    <m/>
    <s v="COM"/>
    <m/>
    <s v="COM"/>
    <x v="1"/>
    <n v="4"/>
    <s v="Mission (Mission)"/>
    <s v="Space_Seg (Space Segment)"/>
    <x v="2"/>
    <x v="4"/>
    <m/>
  </r>
  <r>
    <s v="Mission.Space_Seg.Spacecraft.ant_ADSB_2"/>
    <m/>
    <x v="11"/>
    <m/>
    <s v="\Mission.Space_Seg.Spacecraft.ant_ADSB_2\Temp_oper_max\\default"/>
    <n v="60"/>
    <m/>
    <m/>
    <s v="°C"/>
    <s v="COM"/>
    <m/>
    <s v="COM"/>
    <x v="1"/>
    <n v="4"/>
    <s v="Mission (Mission)"/>
    <s v="Space_Seg (Space Segment)"/>
    <x v="2"/>
    <x v="4"/>
    <m/>
  </r>
  <r>
    <s v="Mission.Space_Seg.Spacecraft.ant_ADSB_2"/>
    <m/>
    <x v="12"/>
    <m/>
    <s v="\Mission.Space_Seg.Spacecraft.ant_ADSB_2\Temp_oper_min\\default"/>
    <n v="-40"/>
    <m/>
    <m/>
    <s v="°C"/>
    <s v="COM"/>
    <m/>
    <s v="COM"/>
    <x v="1"/>
    <n v="4"/>
    <s v="Mission (Mission)"/>
    <s v="Space_Seg (Space Segment)"/>
    <x v="2"/>
    <x v="4"/>
    <m/>
  </r>
  <r>
    <s v="Mission.Space_Seg.Spacecraft.ant_ADSB_2"/>
    <m/>
    <x v="13"/>
    <m/>
    <s v="\Mission.Space_Seg.Spacecraft.ant_ADSB_2\TRL\\default"/>
    <s v="-"/>
    <m/>
    <m/>
    <m/>
    <s v="COM"/>
    <m/>
    <s v="COM"/>
    <x v="1"/>
    <n v="4"/>
    <s v="Mission (Mission)"/>
    <s v="Space_Seg (Space Segment)"/>
    <x v="2"/>
    <x v="4"/>
    <m/>
  </r>
  <r>
    <s v="Mission.Space_Seg.Spacecraft.ant_ADSB_2"/>
    <s v="Dimensions"/>
    <x v="14"/>
    <m/>
    <s v="\Mission.Space_Seg.Spacecraft.ant_ADSB_2\wid\\default"/>
    <s v="-"/>
    <m/>
    <m/>
    <s v="m"/>
    <s v="COM"/>
    <m/>
    <s v="COM"/>
    <x v="1"/>
    <n v="4"/>
    <s v="Mission (Mission)"/>
    <s v="Space_Seg (Space Segment)"/>
    <x v="2"/>
    <x v="4"/>
    <m/>
  </r>
  <r>
    <s v="Mission.Space_Seg.Spacecraft.ant_ADSB_3"/>
    <m/>
    <x v="0"/>
    <m/>
    <s v="\Mission.Space_Seg.Spacecraft.ant_ADSB_3\_name_\\default"/>
    <s v="ADS-B Antenna #3"/>
    <m/>
    <m/>
    <m/>
    <s v="COM"/>
    <m/>
    <s v="COM"/>
    <x v="0"/>
    <n v="4"/>
    <s v="Mission (Mission)"/>
    <s v="Space_Seg (Space Segment)"/>
    <x v="2"/>
    <x v="5"/>
    <m/>
  </r>
  <r>
    <s v="Mission.Space_Seg.Spacecraft.ant_ADSB_3"/>
    <s v="Dimensions"/>
    <x v="1"/>
    <m/>
    <s v="\Mission.Space_Seg.Spacecraft.ant_ADSB_3\diam\\default"/>
    <s v="-"/>
    <m/>
    <m/>
    <s v="m"/>
    <s v="COM"/>
    <m/>
    <s v="COM"/>
    <x v="1"/>
    <n v="4"/>
    <s v="Mission (Mission)"/>
    <s v="Space_Seg (Space Segment)"/>
    <x v="2"/>
    <x v="5"/>
    <m/>
  </r>
  <r>
    <s v="Mission.Space_Seg.Spacecraft.ant_ADSB_3"/>
    <s v="Dimensions"/>
    <x v="2"/>
    <m/>
    <s v="\Mission.Space_Seg.Spacecraft.ant_ADSB_3\height\\default"/>
    <s v="-"/>
    <m/>
    <m/>
    <s v="m"/>
    <s v="COM"/>
    <m/>
    <s v="COM"/>
    <x v="1"/>
    <n v="4"/>
    <s v="Mission (Mission)"/>
    <s v="Space_Seg (Space Segment)"/>
    <x v="2"/>
    <x v="5"/>
    <m/>
  </r>
  <r>
    <s v="Mission.Space_Seg.Spacecraft.ant_ADSB_3"/>
    <s v="Dimensions"/>
    <x v="3"/>
    <m/>
    <s v="\Mission.Space_Seg.Spacecraft.ant_ADSB_3\len\\default"/>
    <s v="-"/>
    <m/>
    <m/>
    <s v="m"/>
    <s v="COM"/>
    <m/>
    <s v="COM"/>
    <x v="1"/>
    <n v="4"/>
    <s v="Mission (Mission)"/>
    <s v="Space_Seg (Space Segment)"/>
    <x v="2"/>
    <x v="5"/>
    <m/>
  </r>
  <r>
    <s v="Mission.Space_Seg.Spacecraft.ant_ADSB_3"/>
    <m/>
    <x v="4"/>
    <m/>
    <s v="\Mission.Space_Seg.Spacecraft.ant_ADSB_3\m\\default"/>
    <n v="5"/>
    <n v="20"/>
    <n v="1"/>
    <s v="kg"/>
    <s v="COM"/>
    <m/>
    <s v="COM"/>
    <x v="1"/>
    <n v="4"/>
    <s v="Mission (Mission)"/>
    <s v="Space_Seg (Space Segment)"/>
    <x v="2"/>
    <x v="5"/>
    <m/>
  </r>
  <r>
    <s v="Mission.Space_Seg.Spacecraft.ant_ADSB_3"/>
    <m/>
    <x v="5"/>
    <m/>
    <s v="\Mission.Space_Seg.Spacecraft.ant_ADSB_3\P\\default"/>
    <s v="-"/>
    <m/>
    <m/>
    <s v="W"/>
    <s v="COM"/>
    <m/>
    <s v="COM"/>
    <x v="1"/>
    <n v="4"/>
    <s v="Mission (Mission)"/>
    <s v="Space_Seg (Space Segment)"/>
    <x v="2"/>
    <x v="5"/>
    <m/>
  </r>
  <r>
    <s v="Mission.Space_Seg.Spacecraft.ant_ADSB_3"/>
    <m/>
    <x v="6"/>
    <m/>
    <s v="\Mission.Space_Seg.Spacecraft.ant_ADSB_3\P_duty_cyc\\default"/>
    <s v="-"/>
    <m/>
    <m/>
    <s v="-"/>
    <s v="COM"/>
    <m/>
    <s v="COM"/>
    <x v="1"/>
    <n v="4"/>
    <s v="Mission (Mission)"/>
    <s v="Space_Seg (Space Segment)"/>
    <x v="2"/>
    <x v="5"/>
    <m/>
  </r>
  <r>
    <s v="Mission.Space_Seg.Spacecraft.ant_ADSB_3"/>
    <m/>
    <x v="7"/>
    <m/>
    <s v="\Mission.Space_Seg.Spacecraft.ant_ADSB_3\redundancy.scheme\\default"/>
    <s v="-"/>
    <m/>
    <m/>
    <m/>
    <s v="COM"/>
    <m/>
    <s v="COM"/>
    <x v="1"/>
    <n v="4"/>
    <s v="Mission (Mission)"/>
    <s v="Space_Seg (Space Segment)"/>
    <x v="2"/>
    <x v="5"/>
    <m/>
  </r>
  <r>
    <s v="Mission.Space_Seg.Spacecraft.ant_ADSB_3"/>
    <m/>
    <x v="8"/>
    <m/>
    <s v="\Mission.Space_Seg.Spacecraft.ant_ADSB_3\redundancy.type\\default"/>
    <s v="-"/>
    <m/>
    <m/>
    <m/>
    <s v="COM"/>
    <m/>
    <s v="COM"/>
    <x v="1"/>
    <n v="4"/>
    <s v="Mission (Mission)"/>
    <s v="Space_Seg (Space Segment)"/>
    <x v="2"/>
    <x v="5"/>
    <m/>
  </r>
  <r>
    <s v="Mission.Space_Seg.Spacecraft.ant_ADSB_3"/>
    <m/>
    <x v="9"/>
    <m/>
    <s v="\Mission.Space_Seg.Spacecraft.ant_ADSB_3\redundancy.k\\default"/>
    <s v="-"/>
    <m/>
    <m/>
    <m/>
    <s v="COM"/>
    <m/>
    <s v="COM"/>
    <x v="1"/>
    <n v="4"/>
    <s v="Mission (Mission)"/>
    <s v="Space_Seg (Space Segment)"/>
    <x v="2"/>
    <x v="5"/>
    <m/>
  </r>
  <r>
    <s v="Mission.Space_Seg.Spacecraft.ant_ADSB_3"/>
    <m/>
    <x v="10"/>
    <m/>
    <s v="\Mission.Space_Seg.Spacecraft.ant_ADSB_3\redundancy.n\\default"/>
    <s v="-"/>
    <m/>
    <m/>
    <m/>
    <s v="COM"/>
    <m/>
    <s v="COM"/>
    <x v="1"/>
    <n v="4"/>
    <s v="Mission (Mission)"/>
    <s v="Space_Seg (Space Segment)"/>
    <x v="2"/>
    <x v="5"/>
    <m/>
  </r>
  <r>
    <s v="Mission.Space_Seg.Spacecraft.ant_ADSB_3"/>
    <m/>
    <x v="11"/>
    <m/>
    <s v="\Mission.Space_Seg.Spacecraft.ant_ADSB_3\Temp_oper_max\\default"/>
    <n v="60"/>
    <m/>
    <m/>
    <s v="°C"/>
    <s v="COM"/>
    <m/>
    <s v="COM"/>
    <x v="1"/>
    <n v="4"/>
    <s v="Mission (Mission)"/>
    <s v="Space_Seg (Space Segment)"/>
    <x v="2"/>
    <x v="5"/>
    <m/>
  </r>
  <r>
    <s v="Mission.Space_Seg.Spacecraft.ant_ADSB_3"/>
    <m/>
    <x v="12"/>
    <m/>
    <s v="\Mission.Space_Seg.Spacecraft.ant_ADSB_3\Temp_oper_min\\default"/>
    <n v="-40"/>
    <m/>
    <m/>
    <s v="°C"/>
    <s v="COM"/>
    <m/>
    <s v="COM"/>
    <x v="1"/>
    <n v="4"/>
    <s v="Mission (Mission)"/>
    <s v="Space_Seg (Space Segment)"/>
    <x v="2"/>
    <x v="5"/>
    <m/>
  </r>
  <r>
    <s v="Mission.Space_Seg.Spacecraft.ant_ADSB_3"/>
    <m/>
    <x v="13"/>
    <m/>
    <s v="\Mission.Space_Seg.Spacecraft.ant_ADSB_3\TRL\\default"/>
    <s v="-"/>
    <m/>
    <m/>
    <m/>
    <s v="COM"/>
    <m/>
    <s v="COM"/>
    <x v="1"/>
    <n v="4"/>
    <s v="Mission (Mission)"/>
    <s v="Space_Seg (Space Segment)"/>
    <x v="2"/>
    <x v="5"/>
    <m/>
  </r>
  <r>
    <s v="Mission.Space_Seg.Spacecraft.ant_ADSB_3"/>
    <s v="Dimensions"/>
    <x v="14"/>
    <m/>
    <s v="\Mission.Space_Seg.Spacecraft.ant_ADSB_3\wid\\default"/>
    <s v="-"/>
    <m/>
    <m/>
    <s v="m"/>
    <s v="COM"/>
    <m/>
    <s v="COM"/>
    <x v="1"/>
    <n v="4"/>
    <s v="Mission (Mission)"/>
    <s v="Space_Seg (Space Segment)"/>
    <x v="2"/>
    <x v="5"/>
    <m/>
  </r>
  <r>
    <s v="Mission.Space_Seg.Spacecraft.ant_ADSB_4"/>
    <m/>
    <x v="0"/>
    <m/>
    <s v="\Mission.Space_Seg.Spacecraft.ant_ADSB_4\_name_\\default"/>
    <s v="ADS-B Antenna #4"/>
    <m/>
    <m/>
    <m/>
    <s v="COM"/>
    <m/>
    <s v="COM"/>
    <x v="0"/>
    <n v="4"/>
    <s v="Mission (Mission)"/>
    <s v="Space_Seg (Space Segment)"/>
    <x v="2"/>
    <x v="6"/>
    <m/>
  </r>
  <r>
    <s v="Mission.Space_Seg.Spacecraft.ant_ADSB_4"/>
    <s v="Dimensions"/>
    <x v="1"/>
    <m/>
    <s v="\Mission.Space_Seg.Spacecraft.ant_ADSB_4\diam\\default"/>
    <s v="-"/>
    <m/>
    <m/>
    <s v="m"/>
    <s v="COM"/>
    <m/>
    <s v="COM"/>
    <x v="1"/>
    <n v="4"/>
    <s v="Mission (Mission)"/>
    <s v="Space_Seg (Space Segment)"/>
    <x v="2"/>
    <x v="6"/>
    <m/>
  </r>
  <r>
    <s v="Mission.Space_Seg.Spacecraft.ant_ADSB_4"/>
    <s v="Dimensions"/>
    <x v="2"/>
    <m/>
    <s v="\Mission.Space_Seg.Spacecraft.ant_ADSB_4\height\\default"/>
    <s v="-"/>
    <m/>
    <m/>
    <s v="m"/>
    <s v="COM"/>
    <m/>
    <s v="COM"/>
    <x v="1"/>
    <n v="4"/>
    <s v="Mission (Mission)"/>
    <s v="Space_Seg (Space Segment)"/>
    <x v="2"/>
    <x v="6"/>
    <m/>
  </r>
  <r>
    <s v="Mission.Space_Seg.Spacecraft.ant_ADSB_4"/>
    <s v="Dimensions"/>
    <x v="3"/>
    <m/>
    <s v="\Mission.Space_Seg.Spacecraft.ant_ADSB_4\len\\default"/>
    <s v="-"/>
    <m/>
    <m/>
    <s v="m"/>
    <s v="COM"/>
    <m/>
    <s v="COM"/>
    <x v="1"/>
    <n v="4"/>
    <s v="Mission (Mission)"/>
    <s v="Space_Seg (Space Segment)"/>
    <x v="2"/>
    <x v="6"/>
    <m/>
  </r>
  <r>
    <s v="Mission.Space_Seg.Spacecraft.ant_ADSB_4"/>
    <m/>
    <x v="4"/>
    <m/>
    <s v="\Mission.Space_Seg.Spacecraft.ant_ADSB_4\m\\default"/>
    <n v="5"/>
    <n v="20"/>
    <n v="1"/>
    <s v="kg"/>
    <s v="COM"/>
    <m/>
    <s v="COM"/>
    <x v="1"/>
    <n v="4"/>
    <s v="Mission (Mission)"/>
    <s v="Space_Seg (Space Segment)"/>
    <x v="2"/>
    <x v="6"/>
    <m/>
  </r>
  <r>
    <s v="Mission.Space_Seg.Spacecraft.ant_ADSB_4"/>
    <m/>
    <x v="5"/>
    <m/>
    <s v="\Mission.Space_Seg.Spacecraft.ant_ADSB_4\P\\default"/>
    <s v="-"/>
    <m/>
    <m/>
    <s v="W"/>
    <s v="COM"/>
    <m/>
    <s v="COM"/>
    <x v="1"/>
    <n v="4"/>
    <s v="Mission (Mission)"/>
    <s v="Space_Seg (Space Segment)"/>
    <x v="2"/>
    <x v="6"/>
    <m/>
  </r>
  <r>
    <s v="Mission.Space_Seg.Spacecraft.ant_ADSB_4"/>
    <m/>
    <x v="6"/>
    <m/>
    <s v="\Mission.Space_Seg.Spacecraft.ant_ADSB_4\P_duty_cyc\\default"/>
    <s v="-"/>
    <m/>
    <m/>
    <s v="-"/>
    <s v="COM"/>
    <m/>
    <s v="COM"/>
    <x v="1"/>
    <n v="4"/>
    <s v="Mission (Mission)"/>
    <s v="Space_Seg (Space Segment)"/>
    <x v="2"/>
    <x v="6"/>
    <m/>
  </r>
  <r>
    <s v="Mission.Space_Seg.Spacecraft.ant_ADSB_4"/>
    <m/>
    <x v="7"/>
    <m/>
    <s v="\Mission.Space_Seg.Spacecraft.ant_ADSB_4\redundancy.scheme\\default"/>
    <s v="-"/>
    <m/>
    <m/>
    <m/>
    <s v="COM"/>
    <m/>
    <s v="COM"/>
    <x v="1"/>
    <n v="4"/>
    <s v="Mission (Mission)"/>
    <s v="Space_Seg (Space Segment)"/>
    <x v="2"/>
    <x v="6"/>
    <m/>
  </r>
  <r>
    <s v="Mission.Space_Seg.Spacecraft.ant_ADSB_4"/>
    <m/>
    <x v="8"/>
    <m/>
    <s v="\Mission.Space_Seg.Spacecraft.ant_ADSB_4\redundancy.type\\default"/>
    <s v="-"/>
    <m/>
    <m/>
    <m/>
    <s v="COM"/>
    <m/>
    <s v="COM"/>
    <x v="1"/>
    <n v="4"/>
    <s v="Mission (Mission)"/>
    <s v="Space_Seg (Space Segment)"/>
    <x v="2"/>
    <x v="6"/>
    <m/>
  </r>
  <r>
    <s v="Mission.Space_Seg.Spacecraft.ant_ADSB_4"/>
    <m/>
    <x v="9"/>
    <m/>
    <s v="\Mission.Space_Seg.Spacecraft.ant_ADSB_4\redundancy.k\\default"/>
    <s v="-"/>
    <m/>
    <m/>
    <m/>
    <s v="COM"/>
    <m/>
    <s v="COM"/>
    <x v="1"/>
    <n v="4"/>
    <s v="Mission (Mission)"/>
    <s v="Space_Seg (Space Segment)"/>
    <x v="2"/>
    <x v="6"/>
    <m/>
  </r>
  <r>
    <s v="Mission.Space_Seg.Spacecraft.ant_ADSB_4"/>
    <m/>
    <x v="10"/>
    <m/>
    <s v="\Mission.Space_Seg.Spacecraft.ant_ADSB_4\redundancy.n\\default"/>
    <s v="-"/>
    <m/>
    <m/>
    <m/>
    <s v="COM"/>
    <m/>
    <s v="COM"/>
    <x v="1"/>
    <n v="4"/>
    <s v="Mission (Mission)"/>
    <s v="Space_Seg (Space Segment)"/>
    <x v="2"/>
    <x v="6"/>
    <m/>
  </r>
  <r>
    <s v="Mission.Space_Seg.Spacecraft.ant_ADSB_4"/>
    <m/>
    <x v="11"/>
    <m/>
    <s v="\Mission.Space_Seg.Spacecraft.ant_ADSB_4\Temp_oper_max\\default"/>
    <n v="60"/>
    <m/>
    <m/>
    <s v="°C"/>
    <s v="COM"/>
    <m/>
    <s v="COM"/>
    <x v="1"/>
    <n v="4"/>
    <s v="Mission (Mission)"/>
    <s v="Space_Seg (Space Segment)"/>
    <x v="2"/>
    <x v="6"/>
    <m/>
  </r>
  <r>
    <s v="Mission.Space_Seg.Spacecraft.ant_ADSB_4"/>
    <m/>
    <x v="12"/>
    <m/>
    <s v="\Mission.Space_Seg.Spacecraft.ant_ADSB_4\Temp_oper_min\\default"/>
    <n v="-40"/>
    <m/>
    <m/>
    <s v="°C"/>
    <s v="COM"/>
    <m/>
    <s v="COM"/>
    <x v="1"/>
    <n v="4"/>
    <s v="Mission (Mission)"/>
    <s v="Space_Seg (Space Segment)"/>
    <x v="2"/>
    <x v="6"/>
    <m/>
  </r>
  <r>
    <s v="Mission.Space_Seg.Spacecraft.ant_ADSB_4"/>
    <m/>
    <x v="13"/>
    <m/>
    <s v="\Mission.Space_Seg.Spacecraft.ant_ADSB_4\TRL\\default"/>
    <s v="-"/>
    <m/>
    <m/>
    <m/>
    <s v="COM"/>
    <m/>
    <s v="COM"/>
    <x v="1"/>
    <n v="4"/>
    <s v="Mission (Mission)"/>
    <s v="Space_Seg (Space Segment)"/>
    <x v="2"/>
    <x v="6"/>
    <m/>
  </r>
  <r>
    <s v="Mission.Space_Seg.Spacecraft.ant_ADSB_4"/>
    <s v="Dimensions"/>
    <x v="14"/>
    <m/>
    <s v="\Mission.Space_Seg.Spacecraft.ant_ADSB_4\wid\\default"/>
    <s v="-"/>
    <m/>
    <m/>
    <s v="m"/>
    <s v="COM"/>
    <m/>
    <s v="COM"/>
    <x v="1"/>
    <n v="4"/>
    <s v="Mission (Mission)"/>
    <s v="Space_Seg (Space Segment)"/>
    <x v="2"/>
    <x v="6"/>
    <m/>
  </r>
  <r>
    <s v="Mission.Space_Seg.Spacecraft.ant_ADSB_5"/>
    <m/>
    <x v="0"/>
    <m/>
    <s v="\Mission.Space_Seg.Spacecraft.ant_ADSB_5\_name_\\default"/>
    <s v="ADS-B Antenna #5"/>
    <m/>
    <m/>
    <m/>
    <s v="COM"/>
    <m/>
    <s v="COM"/>
    <x v="0"/>
    <n v="4"/>
    <s v="Mission (Mission)"/>
    <s v="Space_Seg (Space Segment)"/>
    <x v="2"/>
    <x v="7"/>
    <m/>
  </r>
  <r>
    <s v="Mission.Space_Seg.Spacecraft.ant_ADSB_5"/>
    <s v="Dimensions"/>
    <x v="1"/>
    <m/>
    <s v="\Mission.Space_Seg.Spacecraft.ant_ADSB_5\diam\\default"/>
    <s v="-"/>
    <m/>
    <m/>
    <s v="m"/>
    <s v="COM"/>
    <m/>
    <s v="COM"/>
    <x v="1"/>
    <n v="4"/>
    <s v="Mission (Mission)"/>
    <s v="Space_Seg (Space Segment)"/>
    <x v="2"/>
    <x v="7"/>
    <m/>
  </r>
  <r>
    <s v="Mission.Space_Seg.Spacecraft.ant_ADSB_5"/>
    <s v="Dimensions"/>
    <x v="2"/>
    <m/>
    <s v="\Mission.Space_Seg.Spacecraft.ant_ADSB_5\height\\default"/>
    <s v="-"/>
    <m/>
    <m/>
    <s v="m"/>
    <s v="COM"/>
    <m/>
    <s v="COM"/>
    <x v="1"/>
    <n v="4"/>
    <s v="Mission (Mission)"/>
    <s v="Space_Seg (Space Segment)"/>
    <x v="2"/>
    <x v="7"/>
    <m/>
  </r>
  <r>
    <s v="Mission.Space_Seg.Spacecraft.ant_ADSB_5"/>
    <s v="Dimensions"/>
    <x v="3"/>
    <m/>
    <s v="\Mission.Space_Seg.Spacecraft.ant_ADSB_5\len\\default"/>
    <s v="-"/>
    <m/>
    <m/>
    <s v="m"/>
    <s v="COM"/>
    <m/>
    <s v="COM"/>
    <x v="1"/>
    <n v="4"/>
    <s v="Mission (Mission)"/>
    <s v="Space_Seg (Space Segment)"/>
    <x v="2"/>
    <x v="7"/>
    <m/>
  </r>
  <r>
    <s v="Mission.Space_Seg.Spacecraft.ant_ADSB_5"/>
    <m/>
    <x v="4"/>
    <m/>
    <s v="\Mission.Space_Seg.Spacecraft.ant_ADSB_5\m\\default"/>
    <n v="5"/>
    <n v="20"/>
    <n v="1"/>
    <s v="kg"/>
    <s v="COM"/>
    <m/>
    <s v="COM"/>
    <x v="1"/>
    <n v="4"/>
    <s v="Mission (Mission)"/>
    <s v="Space_Seg (Space Segment)"/>
    <x v="2"/>
    <x v="7"/>
    <m/>
  </r>
  <r>
    <s v="Mission.Space_Seg.Spacecraft.ant_ADSB_5"/>
    <m/>
    <x v="5"/>
    <m/>
    <s v="\Mission.Space_Seg.Spacecraft.ant_ADSB_5\P\\default"/>
    <s v="-"/>
    <m/>
    <m/>
    <s v="W"/>
    <s v="COM"/>
    <m/>
    <s v="COM"/>
    <x v="1"/>
    <n v="4"/>
    <s v="Mission (Mission)"/>
    <s v="Space_Seg (Space Segment)"/>
    <x v="2"/>
    <x v="7"/>
    <m/>
  </r>
  <r>
    <s v="Mission.Space_Seg.Spacecraft.ant_ADSB_5"/>
    <m/>
    <x v="6"/>
    <m/>
    <s v="\Mission.Space_Seg.Spacecraft.ant_ADSB_5\P_duty_cyc\\default"/>
    <s v="-"/>
    <m/>
    <m/>
    <s v="-"/>
    <s v="COM"/>
    <m/>
    <s v="COM"/>
    <x v="1"/>
    <n v="4"/>
    <s v="Mission (Mission)"/>
    <s v="Space_Seg (Space Segment)"/>
    <x v="2"/>
    <x v="7"/>
    <m/>
  </r>
  <r>
    <s v="Mission.Space_Seg.Spacecraft.ant_ADSB_5"/>
    <m/>
    <x v="7"/>
    <m/>
    <s v="\Mission.Space_Seg.Spacecraft.ant_ADSB_5\redundancy.scheme\\default"/>
    <s v="-"/>
    <m/>
    <m/>
    <m/>
    <s v="COM"/>
    <m/>
    <s v="COM"/>
    <x v="1"/>
    <n v="4"/>
    <s v="Mission (Mission)"/>
    <s v="Space_Seg (Space Segment)"/>
    <x v="2"/>
    <x v="7"/>
    <m/>
  </r>
  <r>
    <s v="Mission.Space_Seg.Spacecraft.ant_ADSB_5"/>
    <m/>
    <x v="8"/>
    <m/>
    <s v="\Mission.Space_Seg.Spacecraft.ant_ADSB_5\redundancy.type\\default"/>
    <s v="-"/>
    <m/>
    <m/>
    <m/>
    <s v="COM"/>
    <m/>
    <s v="COM"/>
    <x v="1"/>
    <n v="4"/>
    <s v="Mission (Mission)"/>
    <s v="Space_Seg (Space Segment)"/>
    <x v="2"/>
    <x v="7"/>
    <m/>
  </r>
  <r>
    <s v="Mission.Space_Seg.Spacecraft.ant_ADSB_5"/>
    <m/>
    <x v="9"/>
    <m/>
    <s v="\Mission.Space_Seg.Spacecraft.ant_ADSB_5\redundancy.k\\default"/>
    <s v="-"/>
    <m/>
    <m/>
    <m/>
    <s v="COM"/>
    <m/>
    <s v="COM"/>
    <x v="1"/>
    <n v="4"/>
    <s v="Mission (Mission)"/>
    <s v="Space_Seg (Space Segment)"/>
    <x v="2"/>
    <x v="7"/>
    <m/>
  </r>
  <r>
    <s v="Mission.Space_Seg.Spacecraft.ant_ADSB_5"/>
    <m/>
    <x v="10"/>
    <m/>
    <s v="\Mission.Space_Seg.Spacecraft.ant_ADSB_5\redundancy.n\\default"/>
    <s v="-"/>
    <m/>
    <m/>
    <m/>
    <s v="COM"/>
    <m/>
    <s v="COM"/>
    <x v="1"/>
    <n v="4"/>
    <s v="Mission (Mission)"/>
    <s v="Space_Seg (Space Segment)"/>
    <x v="2"/>
    <x v="7"/>
    <m/>
  </r>
  <r>
    <s v="Mission.Space_Seg.Spacecraft.ant_ADSB_5"/>
    <m/>
    <x v="11"/>
    <m/>
    <s v="\Mission.Space_Seg.Spacecraft.ant_ADSB_5\Temp_oper_max\\default"/>
    <n v="60"/>
    <m/>
    <m/>
    <s v="°C"/>
    <s v="COM"/>
    <m/>
    <s v="COM"/>
    <x v="1"/>
    <n v="4"/>
    <s v="Mission (Mission)"/>
    <s v="Space_Seg (Space Segment)"/>
    <x v="2"/>
    <x v="7"/>
    <m/>
  </r>
  <r>
    <s v="Mission.Space_Seg.Spacecraft.ant_ADSB_5"/>
    <m/>
    <x v="12"/>
    <m/>
    <s v="\Mission.Space_Seg.Spacecraft.ant_ADSB_5\Temp_oper_min\\default"/>
    <n v="-40"/>
    <m/>
    <m/>
    <s v="°C"/>
    <s v="COM"/>
    <m/>
    <s v="COM"/>
    <x v="1"/>
    <n v="4"/>
    <s v="Mission (Mission)"/>
    <s v="Space_Seg (Space Segment)"/>
    <x v="2"/>
    <x v="7"/>
    <m/>
  </r>
  <r>
    <s v="Mission.Space_Seg.Spacecraft.ant_ADSB_5"/>
    <m/>
    <x v="13"/>
    <m/>
    <s v="\Mission.Space_Seg.Spacecraft.ant_ADSB_5\TRL\\default"/>
    <s v="-"/>
    <m/>
    <m/>
    <m/>
    <s v="COM"/>
    <m/>
    <s v="COM"/>
    <x v="1"/>
    <n v="4"/>
    <s v="Mission (Mission)"/>
    <s v="Space_Seg (Space Segment)"/>
    <x v="2"/>
    <x v="7"/>
    <m/>
  </r>
  <r>
    <s v="Mission.Space_Seg.Spacecraft.ant_ADSB_5"/>
    <s v="Dimensions"/>
    <x v="14"/>
    <m/>
    <s v="\Mission.Space_Seg.Spacecraft.ant_ADSB_5\wid\\default"/>
    <s v="-"/>
    <m/>
    <m/>
    <s v="m"/>
    <s v="COM"/>
    <m/>
    <s v="COM"/>
    <x v="1"/>
    <n v="4"/>
    <s v="Mission (Mission)"/>
    <s v="Space_Seg (Space Segment)"/>
    <x v="2"/>
    <x v="7"/>
    <m/>
  </r>
  <r>
    <s v="Mission.Space_Seg.Spacecraft.ant_ADSB_6"/>
    <m/>
    <x v="0"/>
    <m/>
    <s v="\Mission.Space_Seg.Spacecraft.ant_ADSB_6\_name_\\default"/>
    <s v="ADS-B Antenna #6"/>
    <m/>
    <m/>
    <m/>
    <s v="COM"/>
    <m/>
    <s v="COM"/>
    <x v="0"/>
    <n v="4"/>
    <s v="Mission (Mission)"/>
    <s v="Space_Seg (Space Segment)"/>
    <x v="2"/>
    <x v="8"/>
    <m/>
  </r>
  <r>
    <s v="Mission.Space_Seg.Spacecraft.ant_ADSB_6"/>
    <s v="Dimensions"/>
    <x v="1"/>
    <m/>
    <s v="\Mission.Space_Seg.Spacecraft.ant_ADSB_6\diam\\default"/>
    <s v="-"/>
    <m/>
    <m/>
    <s v="m"/>
    <s v="COM"/>
    <m/>
    <s v="COM"/>
    <x v="1"/>
    <n v="4"/>
    <s v="Mission (Mission)"/>
    <s v="Space_Seg (Space Segment)"/>
    <x v="2"/>
    <x v="8"/>
    <m/>
  </r>
  <r>
    <s v="Mission.Space_Seg.Spacecraft.ant_ADSB_6"/>
    <s v="Dimensions"/>
    <x v="2"/>
    <m/>
    <s v="\Mission.Space_Seg.Spacecraft.ant_ADSB_6\height\\default"/>
    <s v="-"/>
    <m/>
    <m/>
    <s v="m"/>
    <s v="COM"/>
    <m/>
    <s v="COM"/>
    <x v="1"/>
    <n v="4"/>
    <s v="Mission (Mission)"/>
    <s v="Space_Seg (Space Segment)"/>
    <x v="2"/>
    <x v="8"/>
    <m/>
  </r>
  <r>
    <s v="Mission.Space_Seg.Spacecraft.ant_ADSB_6"/>
    <s v="Dimensions"/>
    <x v="3"/>
    <m/>
    <s v="\Mission.Space_Seg.Spacecraft.ant_ADSB_6\len\\default"/>
    <s v="-"/>
    <m/>
    <m/>
    <s v="m"/>
    <s v="COM"/>
    <m/>
    <s v="COM"/>
    <x v="1"/>
    <n v="4"/>
    <s v="Mission (Mission)"/>
    <s v="Space_Seg (Space Segment)"/>
    <x v="2"/>
    <x v="8"/>
    <m/>
  </r>
  <r>
    <s v="Mission.Space_Seg.Spacecraft.ant_ADSB_6"/>
    <m/>
    <x v="4"/>
    <m/>
    <s v="\Mission.Space_Seg.Spacecraft.ant_ADSB_6\m\\default"/>
    <n v="5"/>
    <n v="20"/>
    <n v="1"/>
    <s v="kg"/>
    <s v="COM"/>
    <m/>
    <s v="COM"/>
    <x v="1"/>
    <n v="4"/>
    <s v="Mission (Mission)"/>
    <s v="Space_Seg (Space Segment)"/>
    <x v="2"/>
    <x v="8"/>
    <m/>
  </r>
  <r>
    <s v="Mission.Space_Seg.Spacecraft.ant_ADSB_6"/>
    <m/>
    <x v="5"/>
    <m/>
    <s v="\Mission.Space_Seg.Spacecraft.ant_ADSB_6\P\\default"/>
    <s v="-"/>
    <m/>
    <m/>
    <s v="W"/>
    <s v="COM"/>
    <m/>
    <s v="COM"/>
    <x v="1"/>
    <n v="4"/>
    <s v="Mission (Mission)"/>
    <s v="Space_Seg (Space Segment)"/>
    <x v="2"/>
    <x v="8"/>
    <m/>
  </r>
  <r>
    <s v="Mission.Space_Seg.Spacecraft.ant_ADSB_6"/>
    <m/>
    <x v="6"/>
    <m/>
    <s v="\Mission.Space_Seg.Spacecraft.ant_ADSB_6\P_duty_cyc\\default"/>
    <s v="-"/>
    <m/>
    <m/>
    <s v="-"/>
    <s v="COM"/>
    <m/>
    <s v="COM"/>
    <x v="1"/>
    <n v="4"/>
    <s v="Mission (Mission)"/>
    <s v="Space_Seg (Space Segment)"/>
    <x v="2"/>
    <x v="8"/>
    <m/>
  </r>
  <r>
    <s v="Mission.Space_Seg.Spacecraft.ant_ADSB_6"/>
    <m/>
    <x v="7"/>
    <m/>
    <s v="\Mission.Space_Seg.Spacecraft.ant_ADSB_6\redundancy.scheme\\default"/>
    <s v="-"/>
    <m/>
    <m/>
    <m/>
    <s v="COM"/>
    <m/>
    <s v="COM"/>
    <x v="1"/>
    <n v="4"/>
    <s v="Mission (Mission)"/>
    <s v="Space_Seg (Space Segment)"/>
    <x v="2"/>
    <x v="8"/>
    <m/>
  </r>
  <r>
    <s v="Mission.Space_Seg.Spacecraft.ant_ADSB_6"/>
    <m/>
    <x v="8"/>
    <m/>
    <s v="\Mission.Space_Seg.Spacecraft.ant_ADSB_6\redundancy.type\\default"/>
    <s v="-"/>
    <m/>
    <m/>
    <m/>
    <s v="COM"/>
    <m/>
    <s v="COM"/>
    <x v="1"/>
    <n v="4"/>
    <s v="Mission (Mission)"/>
    <s v="Space_Seg (Space Segment)"/>
    <x v="2"/>
    <x v="8"/>
    <m/>
  </r>
  <r>
    <s v="Mission.Space_Seg.Spacecraft.ant_ADSB_6"/>
    <m/>
    <x v="9"/>
    <m/>
    <s v="\Mission.Space_Seg.Spacecraft.ant_ADSB_6\redundancy.k\\default"/>
    <s v="-"/>
    <m/>
    <m/>
    <m/>
    <s v="COM"/>
    <m/>
    <s v="COM"/>
    <x v="1"/>
    <n v="4"/>
    <s v="Mission (Mission)"/>
    <s v="Space_Seg (Space Segment)"/>
    <x v="2"/>
    <x v="8"/>
    <m/>
  </r>
  <r>
    <s v="Mission.Space_Seg.Spacecraft.ant_ADSB_6"/>
    <m/>
    <x v="10"/>
    <m/>
    <s v="\Mission.Space_Seg.Spacecraft.ant_ADSB_6\redundancy.n\\default"/>
    <s v="-"/>
    <m/>
    <m/>
    <m/>
    <s v="COM"/>
    <m/>
    <s v="COM"/>
    <x v="1"/>
    <n v="4"/>
    <s v="Mission (Mission)"/>
    <s v="Space_Seg (Space Segment)"/>
    <x v="2"/>
    <x v="8"/>
    <m/>
  </r>
  <r>
    <s v="Mission.Space_Seg.Spacecraft.ant_ADSB_6"/>
    <m/>
    <x v="11"/>
    <m/>
    <s v="\Mission.Space_Seg.Spacecraft.ant_ADSB_6\Temp_oper_max\\default"/>
    <n v="60"/>
    <m/>
    <m/>
    <s v="°C"/>
    <s v="COM"/>
    <m/>
    <s v="COM"/>
    <x v="1"/>
    <n v="4"/>
    <s v="Mission (Mission)"/>
    <s v="Space_Seg (Space Segment)"/>
    <x v="2"/>
    <x v="8"/>
    <m/>
  </r>
  <r>
    <s v="Mission.Space_Seg.Spacecraft.ant_ADSB_6"/>
    <m/>
    <x v="12"/>
    <m/>
    <s v="\Mission.Space_Seg.Spacecraft.ant_ADSB_6\Temp_oper_min\\default"/>
    <n v="-40"/>
    <m/>
    <m/>
    <s v="°C"/>
    <s v="COM"/>
    <m/>
    <s v="COM"/>
    <x v="1"/>
    <n v="4"/>
    <s v="Mission (Mission)"/>
    <s v="Space_Seg (Space Segment)"/>
    <x v="2"/>
    <x v="8"/>
    <m/>
  </r>
  <r>
    <s v="Mission.Space_Seg.Spacecraft.ant_ADSB_6"/>
    <m/>
    <x v="13"/>
    <m/>
    <s v="\Mission.Space_Seg.Spacecraft.ant_ADSB_6\TRL\\default"/>
    <s v="-"/>
    <m/>
    <m/>
    <m/>
    <s v="COM"/>
    <m/>
    <s v="COM"/>
    <x v="1"/>
    <n v="4"/>
    <s v="Mission (Mission)"/>
    <s v="Space_Seg (Space Segment)"/>
    <x v="2"/>
    <x v="8"/>
    <m/>
  </r>
  <r>
    <s v="Mission.Space_Seg.Spacecraft.ant_ADSB_6"/>
    <s v="Dimensions"/>
    <x v="14"/>
    <m/>
    <s v="\Mission.Space_Seg.Spacecraft.ant_ADSB_6\wid\\default"/>
    <s v="-"/>
    <m/>
    <m/>
    <s v="m"/>
    <s v="COM"/>
    <m/>
    <s v="COM"/>
    <x v="1"/>
    <n v="4"/>
    <s v="Mission (Mission)"/>
    <s v="Space_Seg (Space Segment)"/>
    <x v="2"/>
    <x v="8"/>
    <m/>
  </r>
  <r>
    <s v="Mission.Space_Seg.Spacecraft.ant_AIS"/>
    <m/>
    <x v="0"/>
    <m/>
    <s v="\Mission.Space_Seg.Spacecraft.ant_AIS\_name_\\default"/>
    <s v="AIS Antenna"/>
    <m/>
    <m/>
    <m/>
    <s v="COM"/>
    <m/>
    <s v="COM"/>
    <x v="0"/>
    <n v="4"/>
    <s v="Mission (Mission)"/>
    <s v="Space_Seg (Space Segment)"/>
    <x v="2"/>
    <x v="9"/>
    <m/>
  </r>
  <r>
    <s v="Mission.Space_Seg.Spacecraft.ant_AIS"/>
    <s v="Dimensions"/>
    <x v="1"/>
    <m/>
    <s v="\Mission.Space_Seg.Spacecraft.ant_AIS\diam\\default"/>
    <s v="-"/>
    <m/>
    <m/>
    <s v="m"/>
    <s v="COM"/>
    <m/>
    <s v="COM"/>
    <x v="1"/>
    <n v="4"/>
    <s v="Mission (Mission)"/>
    <s v="Space_Seg (Space Segment)"/>
    <x v="2"/>
    <x v="9"/>
    <m/>
  </r>
  <r>
    <s v="Mission.Space_Seg.Spacecraft.ant_AIS"/>
    <s v="Dimensions"/>
    <x v="2"/>
    <m/>
    <s v="\Mission.Space_Seg.Spacecraft.ant_AIS\height\\default"/>
    <s v="-"/>
    <m/>
    <m/>
    <s v="m"/>
    <s v="COM"/>
    <m/>
    <s v="COM"/>
    <x v="1"/>
    <n v="4"/>
    <s v="Mission (Mission)"/>
    <s v="Space_Seg (Space Segment)"/>
    <x v="2"/>
    <x v="9"/>
    <m/>
  </r>
  <r>
    <s v="Mission.Space_Seg.Spacecraft.ant_AIS"/>
    <s v="Dimensions"/>
    <x v="3"/>
    <m/>
    <s v="\Mission.Space_Seg.Spacecraft.ant_AIS\len\\default"/>
    <s v="-"/>
    <m/>
    <m/>
    <s v="m"/>
    <s v="COM"/>
    <m/>
    <s v="COM"/>
    <x v="1"/>
    <n v="4"/>
    <s v="Mission (Mission)"/>
    <s v="Space_Seg (Space Segment)"/>
    <x v="2"/>
    <x v="9"/>
    <m/>
  </r>
  <r>
    <s v="Mission.Space_Seg.Spacecraft.ant_AIS"/>
    <m/>
    <x v="4"/>
    <m/>
    <s v="\Mission.Space_Seg.Spacecraft.ant_AIS\m\\default"/>
    <n v="0.3"/>
    <n v="5"/>
    <n v="1.4999999999999999E-2"/>
    <s v="kg"/>
    <s v="COM"/>
    <m/>
    <s v="COM"/>
    <x v="1"/>
    <n v="4"/>
    <s v="Mission (Mission)"/>
    <s v="Space_Seg (Space Segment)"/>
    <x v="2"/>
    <x v="9"/>
    <m/>
  </r>
  <r>
    <s v="Mission.Space_Seg.Spacecraft.ant_AIS"/>
    <m/>
    <x v="5"/>
    <m/>
    <s v="\Mission.Space_Seg.Spacecraft.ant_AIS\P\\default"/>
    <s v="-"/>
    <m/>
    <m/>
    <s v="W"/>
    <s v="COM"/>
    <m/>
    <s v="COM"/>
    <x v="1"/>
    <n v="4"/>
    <s v="Mission (Mission)"/>
    <s v="Space_Seg (Space Segment)"/>
    <x v="2"/>
    <x v="9"/>
    <m/>
  </r>
  <r>
    <s v="Mission.Space_Seg.Spacecraft.ant_AIS"/>
    <m/>
    <x v="6"/>
    <m/>
    <s v="\Mission.Space_Seg.Spacecraft.ant_AIS\P_duty_cyc\\default"/>
    <s v="-"/>
    <m/>
    <m/>
    <s v="-"/>
    <s v="COM"/>
    <m/>
    <s v="COM"/>
    <x v="1"/>
    <n v="4"/>
    <s v="Mission (Mission)"/>
    <s v="Space_Seg (Space Segment)"/>
    <x v="2"/>
    <x v="9"/>
    <m/>
  </r>
  <r>
    <s v="Mission.Space_Seg.Spacecraft.ant_AIS"/>
    <m/>
    <x v="7"/>
    <m/>
    <s v="\Mission.Space_Seg.Spacecraft.ant_AIS\redundancy.scheme\\default"/>
    <s v="-"/>
    <m/>
    <m/>
    <m/>
    <s v="COM"/>
    <m/>
    <s v="COM"/>
    <x v="1"/>
    <n v="4"/>
    <s v="Mission (Mission)"/>
    <s v="Space_Seg (Space Segment)"/>
    <x v="2"/>
    <x v="9"/>
    <m/>
  </r>
  <r>
    <s v="Mission.Space_Seg.Spacecraft.ant_AIS"/>
    <m/>
    <x v="8"/>
    <m/>
    <s v="\Mission.Space_Seg.Spacecraft.ant_AIS\redundancy.type\\default"/>
    <s v="-"/>
    <m/>
    <m/>
    <m/>
    <s v="COM"/>
    <m/>
    <s v="COM"/>
    <x v="1"/>
    <n v="4"/>
    <s v="Mission (Mission)"/>
    <s v="Space_Seg (Space Segment)"/>
    <x v="2"/>
    <x v="9"/>
    <m/>
  </r>
  <r>
    <s v="Mission.Space_Seg.Spacecraft.ant_AIS"/>
    <m/>
    <x v="9"/>
    <m/>
    <s v="\Mission.Space_Seg.Spacecraft.ant_AIS\redundancy.k\\default"/>
    <s v="-"/>
    <m/>
    <m/>
    <m/>
    <s v="COM"/>
    <m/>
    <s v="COM"/>
    <x v="1"/>
    <n v="4"/>
    <s v="Mission (Mission)"/>
    <s v="Space_Seg (Space Segment)"/>
    <x v="2"/>
    <x v="9"/>
    <m/>
  </r>
  <r>
    <s v="Mission.Space_Seg.Spacecraft.ant_AIS"/>
    <m/>
    <x v="10"/>
    <m/>
    <s v="\Mission.Space_Seg.Spacecraft.ant_AIS\redundancy.n\\default"/>
    <s v="-"/>
    <m/>
    <m/>
    <m/>
    <s v="COM"/>
    <m/>
    <s v="COM"/>
    <x v="1"/>
    <n v="4"/>
    <s v="Mission (Mission)"/>
    <s v="Space_Seg (Space Segment)"/>
    <x v="2"/>
    <x v="9"/>
    <m/>
  </r>
  <r>
    <s v="Mission.Space_Seg.Spacecraft.ant_AIS"/>
    <m/>
    <x v="11"/>
    <m/>
    <s v="\Mission.Space_Seg.Spacecraft.ant_AIS\Temp_oper_max\\default"/>
    <n v="60"/>
    <m/>
    <m/>
    <s v="°C"/>
    <s v="COM"/>
    <m/>
    <s v="COM"/>
    <x v="1"/>
    <n v="4"/>
    <s v="Mission (Mission)"/>
    <s v="Space_Seg (Space Segment)"/>
    <x v="2"/>
    <x v="9"/>
    <m/>
  </r>
  <r>
    <s v="Mission.Space_Seg.Spacecraft.ant_AIS"/>
    <m/>
    <x v="12"/>
    <m/>
    <s v="\Mission.Space_Seg.Spacecraft.ant_AIS\Temp_oper_min\\default"/>
    <n v="-40"/>
    <m/>
    <m/>
    <s v="°C"/>
    <s v="COM"/>
    <m/>
    <s v="COM"/>
    <x v="1"/>
    <n v="4"/>
    <s v="Mission (Mission)"/>
    <s v="Space_Seg (Space Segment)"/>
    <x v="2"/>
    <x v="9"/>
    <m/>
  </r>
  <r>
    <s v="Mission.Space_Seg.Spacecraft.ant_AIS"/>
    <m/>
    <x v="13"/>
    <m/>
    <s v="\Mission.Space_Seg.Spacecraft.ant_AIS\TRL\\default"/>
    <s v="-"/>
    <m/>
    <m/>
    <m/>
    <s v="COM"/>
    <m/>
    <s v="COM"/>
    <x v="1"/>
    <n v="4"/>
    <s v="Mission (Mission)"/>
    <s v="Space_Seg (Space Segment)"/>
    <x v="2"/>
    <x v="9"/>
    <m/>
  </r>
  <r>
    <s v="Mission.Space_Seg.Spacecraft.ant_AIS"/>
    <s v="Dimensions"/>
    <x v="14"/>
    <m/>
    <s v="\Mission.Space_Seg.Spacecraft.ant_AIS\wid\\default"/>
    <s v="-"/>
    <m/>
    <m/>
    <s v="m"/>
    <s v="COM"/>
    <m/>
    <s v="COM"/>
    <x v="1"/>
    <n v="4"/>
    <s v="Mission (Mission)"/>
    <s v="Space_Seg (Space Segment)"/>
    <x v="2"/>
    <x v="9"/>
    <m/>
  </r>
  <r>
    <s v="Mission.Space_Seg.Spacecraft.Ant_Dep_Gim"/>
    <m/>
    <x v="0"/>
    <m/>
    <s v="\Mission.Space_Seg.Spacecraft.Ant_Dep_Gim\_name_\\default"/>
    <s v="Antenna Deployment Gimbal"/>
    <m/>
    <m/>
    <m/>
    <s v="MEC"/>
    <m/>
    <s v="MEC"/>
    <x v="0"/>
    <n v="4"/>
    <s v="Mission (Mission)"/>
    <s v="Space_Seg (Space Segment)"/>
    <x v="2"/>
    <x v="10"/>
    <m/>
  </r>
  <r>
    <s v="Mission.Space_Seg.Spacecraft.Ant_Dep_Gim"/>
    <s v="Dimensions"/>
    <x v="1"/>
    <m/>
    <s v="\Mission.Space_Seg.Spacecraft.Ant_Dep_Gim\diam\\default"/>
    <n v="0.11899999999999999"/>
    <m/>
    <m/>
    <s v="m"/>
    <s v="MEC"/>
    <m/>
    <s v="MEC"/>
    <x v="1"/>
    <n v="4"/>
    <s v="Mission (Mission)"/>
    <s v="Space_Seg (Space Segment)"/>
    <x v="2"/>
    <x v="10"/>
    <m/>
  </r>
  <r>
    <s v="Mission.Space_Seg.Spacecraft.Ant_Dep_Gim"/>
    <s v="Dimensions"/>
    <x v="2"/>
    <m/>
    <s v="\Mission.Space_Seg.Spacecraft.Ant_Dep_Gim\height\\default"/>
    <n v="0.09"/>
    <m/>
    <m/>
    <s v="m"/>
    <s v="MEC"/>
    <m/>
    <s v="MEC"/>
    <x v="1"/>
    <n v="4"/>
    <s v="Mission (Mission)"/>
    <s v="Space_Seg (Space Segment)"/>
    <x v="2"/>
    <x v="10"/>
    <m/>
  </r>
  <r>
    <s v="Mission.Space_Seg.Spacecraft.Ant_Dep_Gim"/>
    <s v="Dimensions"/>
    <x v="3"/>
    <m/>
    <s v="\Mission.Space_Seg.Spacecraft.Ant_Dep_Gim\len\\default"/>
    <s v="-"/>
    <m/>
    <m/>
    <s v="m"/>
    <s v="MEC"/>
    <m/>
    <s v="MEC"/>
    <x v="1"/>
    <n v="4"/>
    <s v="Mission (Mission)"/>
    <s v="Space_Seg (Space Segment)"/>
    <x v="2"/>
    <x v="10"/>
    <m/>
  </r>
  <r>
    <s v="Mission.Space_Seg.Spacecraft.Ant_Dep_Gim"/>
    <m/>
    <x v="4"/>
    <m/>
    <s v="\Mission.Space_Seg.Spacecraft.Ant_Dep_Gim\m\\default"/>
    <n v="3.3"/>
    <n v="5"/>
    <n v="0.16499999999999998"/>
    <s v="kg"/>
    <s v="MEC"/>
    <m/>
    <s v="MEC"/>
    <x v="1"/>
    <n v="4"/>
    <s v="Mission (Mission)"/>
    <s v="Space_Seg (Space Segment)"/>
    <x v="2"/>
    <x v="10"/>
    <m/>
  </r>
  <r>
    <s v="Mission.Space_Seg.Spacecraft.Ant_Dep_Gim"/>
    <m/>
    <x v="5"/>
    <m/>
    <s v="\Mission.Space_Seg.Spacecraft.Ant_Dep_Gim\P\\default"/>
    <n v="2.1360000000000001"/>
    <m/>
    <m/>
    <s v="W"/>
    <s v="MEC"/>
    <m/>
    <s v="MEC"/>
    <x v="1"/>
    <n v="4"/>
    <s v="Mission (Mission)"/>
    <s v="Space_Seg (Space Segment)"/>
    <x v="2"/>
    <x v="10"/>
    <m/>
  </r>
  <r>
    <s v="Mission.Space_Seg.Spacecraft.Ant_Dep_Gim"/>
    <m/>
    <x v="6"/>
    <s v="LAU"/>
    <s v="\Mission.Space_Seg.Spacecraft.Ant_Dep_Gim\P_duty_cyc\LAU\default"/>
    <n v="-1"/>
    <m/>
    <m/>
    <s v="-"/>
    <s v="MEC"/>
    <m/>
    <s v="MEC"/>
    <x v="1"/>
    <n v="4"/>
    <s v="Mission (Mission)"/>
    <s v="Space_Seg (Space Segment)"/>
    <x v="2"/>
    <x v="10"/>
    <m/>
  </r>
  <r>
    <s v="Mission.Space_Seg.Spacecraft.Ant_Dep_Gim"/>
    <m/>
    <x v="6"/>
    <s v="SAF"/>
    <s v="\Mission.Space_Seg.Spacecraft.Ant_Dep_Gim\P_duty_cyc\SAF\default"/>
    <n v="-1"/>
    <m/>
    <m/>
    <s v="-"/>
    <s v="MEC"/>
    <m/>
    <s v="MEC"/>
    <x v="1"/>
    <n v="4"/>
    <s v="Mission (Mission)"/>
    <s v="Space_Seg (Space Segment)"/>
    <x v="2"/>
    <x v="10"/>
    <m/>
  </r>
  <r>
    <s v="Mission.Space_Seg.Spacecraft.Ant_Dep_Gim"/>
    <m/>
    <x v="6"/>
    <s v="OBS"/>
    <s v="\Mission.Space_Seg.Spacecraft.Ant_Dep_Gim\P_duty_cyc\OBS\default"/>
    <n v="-1"/>
    <m/>
    <m/>
    <s v="-"/>
    <s v="MEC"/>
    <m/>
    <s v="MEC"/>
    <x v="1"/>
    <n v="4"/>
    <s v="Mission (Mission)"/>
    <s v="Space_Seg (Space Segment)"/>
    <x v="2"/>
    <x v="10"/>
    <m/>
  </r>
  <r>
    <s v="Mission.Space_Seg.Spacecraft.Ant_Dep_Gim"/>
    <m/>
    <x v="6"/>
    <s v="COM"/>
    <s v="\Mission.Space_Seg.Spacecraft.Ant_Dep_Gim\P_duty_cyc\COM\default"/>
    <n v="1"/>
    <m/>
    <m/>
    <s v="-"/>
    <s v="MEC"/>
    <m/>
    <s v="MEC"/>
    <x v="1"/>
    <n v="4"/>
    <s v="Mission (Mission)"/>
    <s v="Space_Seg (Space Segment)"/>
    <x v="2"/>
    <x v="10"/>
    <m/>
  </r>
  <r>
    <s v="Mission.Space_Seg.Spacecraft.Ant_Dep_Gim"/>
    <m/>
    <x v="6"/>
    <s v="INJ"/>
    <s v="\Mission.Space_Seg.Spacecraft.Ant_Dep_Gim\P_duty_cyc\INJ\default"/>
    <n v="1"/>
    <m/>
    <m/>
    <s v="-"/>
    <s v="MEC"/>
    <m/>
    <s v="MEC"/>
    <x v="1"/>
    <n v="4"/>
    <s v="Mission (Mission)"/>
    <s v="Space_Seg (Space Segment)"/>
    <x v="2"/>
    <x v="10"/>
    <m/>
  </r>
  <r>
    <s v="Mission.Space_Seg.Spacecraft.Ant_Dep_Gim"/>
    <m/>
    <x v="6"/>
    <s v="CRU"/>
    <s v="\Mission.Space_Seg.Spacecraft.Ant_Dep_Gim\P_duty_cyc\CRU\default"/>
    <n v="1"/>
    <m/>
    <m/>
    <s v="-"/>
    <s v="MEC"/>
    <m/>
    <s v="MEC"/>
    <x v="1"/>
    <n v="4"/>
    <s v="Mission (Mission)"/>
    <s v="Space_Seg (Space Segment)"/>
    <x v="2"/>
    <x v="10"/>
    <m/>
  </r>
  <r>
    <s v="Mission.Space_Seg.Spacecraft.Ant_Dep_Gim"/>
    <m/>
    <x v="6"/>
    <s v="DEO"/>
    <s v="\Mission.Space_Seg.Spacecraft.Ant_Dep_Gim\P_duty_cyc\DEO\default"/>
    <n v="-1"/>
    <m/>
    <m/>
    <s v="-"/>
    <s v="MEC"/>
    <m/>
    <s v="MEC"/>
    <x v="1"/>
    <n v="4"/>
    <s v="Mission (Mission)"/>
    <s v="Space_Seg (Space Segment)"/>
    <x v="2"/>
    <x v="10"/>
    <m/>
  </r>
  <r>
    <s v="Mission.Space_Seg.Spacecraft.Ant_Dep_Gim"/>
    <m/>
    <x v="7"/>
    <m/>
    <s v="\Mission.Space_Seg.Spacecraft.Ant_Dep_Gim\redundancy.scheme\\default"/>
    <s v="-"/>
    <m/>
    <m/>
    <m/>
    <s v="MEC"/>
    <m/>
    <s v="MEC"/>
    <x v="1"/>
    <n v="4"/>
    <s v="Mission (Mission)"/>
    <s v="Space_Seg (Space Segment)"/>
    <x v="2"/>
    <x v="10"/>
    <m/>
  </r>
  <r>
    <s v="Mission.Space_Seg.Spacecraft.Ant_Dep_Gim"/>
    <m/>
    <x v="8"/>
    <m/>
    <s v="\Mission.Space_Seg.Spacecraft.Ant_Dep_Gim\redundancy.type\\default"/>
    <s v="-"/>
    <m/>
    <m/>
    <m/>
    <s v="MEC"/>
    <m/>
    <s v="MEC"/>
    <x v="1"/>
    <n v="4"/>
    <s v="Mission (Mission)"/>
    <s v="Space_Seg (Space Segment)"/>
    <x v="2"/>
    <x v="10"/>
    <m/>
  </r>
  <r>
    <s v="Mission.Space_Seg.Spacecraft.Ant_Dep_Gim"/>
    <m/>
    <x v="9"/>
    <m/>
    <s v="\Mission.Space_Seg.Spacecraft.Ant_Dep_Gim\redundancy.k\\default"/>
    <s v="-"/>
    <m/>
    <m/>
    <m/>
    <s v="MEC"/>
    <m/>
    <s v="MEC"/>
    <x v="1"/>
    <n v="4"/>
    <s v="Mission (Mission)"/>
    <s v="Space_Seg (Space Segment)"/>
    <x v="2"/>
    <x v="10"/>
    <m/>
  </r>
  <r>
    <s v="Mission.Space_Seg.Spacecraft.Ant_Dep_Gim"/>
    <m/>
    <x v="10"/>
    <m/>
    <s v="\Mission.Space_Seg.Spacecraft.Ant_Dep_Gim\redundancy.n\\default"/>
    <s v="-"/>
    <m/>
    <m/>
    <m/>
    <s v="MEC"/>
    <m/>
    <s v="MEC"/>
    <x v="1"/>
    <n v="4"/>
    <s v="Mission (Mission)"/>
    <s v="Space_Seg (Space Segment)"/>
    <x v="2"/>
    <x v="10"/>
    <m/>
  </r>
  <r>
    <s v="Mission.Space_Seg.Spacecraft.Ant_Dep_Gim"/>
    <m/>
    <x v="11"/>
    <m/>
    <s v="\Mission.Space_Seg.Spacecraft.Ant_Dep_Gim\Temp_oper_max\\default"/>
    <n v="65"/>
    <m/>
    <m/>
    <s v="°C"/>
    <s v="MEC"/>
    <m/>
    <s v="MEC"/>
    <x v="1"/>
    <n v="4"/>
    <s v="Mission (Mission)"/>
    <s v="Space_Seg (Space Segment)"/>
    <x v="2"/>
    <x v="10"/>
    <m/>
  </r>
  <r>
    <s v="Mission.Space_Seg.Spacecraft.Ant_Dep_Gim"/>
    <m/>
    <x v="12"/>
    <m/>
    <s v="\Mission.Space_Seg.Spacecraft.Ant_Dep_Gim\Temp_oper_min\\default"/>
    <n v="-30"/>
    <m/>
    <m/>
    <s v="°C"/>
    <s v="MEC"/>
    <m/>
    <s v="MEC"/>
    <x v="1"/>
    <n v="4"/>
    <s v="Mission (Mission)"/>
    <s v="Space_Seg (Space Segment)"/>
    <x v="2"/>
    <x v="10"/>
    <m/>
  </r>
  <r>
    <s v="Mission.Space_Seg.Spacecraft.Ant_Dep_Gim"/>
    <m/>
    <x v="13"/>
    <m/>
    <s v="\Mission.Space_Seg.Spacecraft.Ant_Dep_Gim\TRL\\default"/>
    <n v="9"/>
    <m/>
    <m/>
    <m/>
    <s v="MEC"/>
    <m/>
    <s v="MEC"/>
    <x v="1"/>
    <n v="4"/>
    <s v="Mission (Mission)"/>
    <s v="Space_Seg (Space Segment)"/>
    <x v="2"/>
    <x v="10"/>
    <m/>
  </r>
  <r>
    <s v="Mission.Space_Seg.Spacecraft.Ant_Dep_Gim"/>
    <s v="Dimensions"/>
    <x v="14"/>
    <m/>
    <s v="\Mission.Space_Seg.Spacecraft.Ant_Dep_Gim\wid\\default"/>
    <s v="-"/>
    <m/>
    <m/>
    <s v="m"/>
    <s v="MEC"/>
    <m/>
    <s v="MEC"/>
    <x v="1"/>
    <n v="4"/>
    <s v="Mission (Mission)"/>
    <s v="Space_Seg (Space Segment)"/>
    <x v="2"/>
    <x v="10"/>
    <m/>
  </r>
  <r>
    <s v="Mission.Space_Seg.Spacecraft.Ant_Dep_Mec"/>
    <m/>
    <x v="0"/>
    <m/>
    <s v="\Mission.Space_Seg.Spacecraft.Ant_Dep_Mec\_name_\\default"/>
    <s v="Antenna Deployment Mechanism"/>
    <m/>
    <m/>
    <m/>
    <s v="MEC"/>
    <m/>
    <s v="MEC"/>
    <x v="0"/>
    <n v="4"/>
    <s v="Mission (Mission)"/>
    <s v="Space_Seg (Space Segment)"/>
    <x v="2"/>
    <x v="11"/>
    <m/>
  </r>
  <r>
    <s v="Mission.Space_Seg.Spacecraft.Ant_Dep_Mec"/>
    <s v="Dimensions"/>
    <x v="1"/>
    <m/>
    <s v="\Mission.Space_Seg.Spacecraft.Ant_Dep_Mec\diam\\default"/>
    <n v="3.4290000000000001E-2"/>
    <m/>
    <m/>
    <s v="m"/>
    <s v="MEC"/>
    <m/>
    <s v="MEC"/>
    <x v="1"/>
    <n v="4"/>
    <s v="Mission (Mission)"/>
    <s v="Space_Seg (Space Segment)"/>
    <x v="2"/>
    <x v="11"/>
    <m/>
  </r>
  <r>
    <s v="Mission.Space_Seg.Spacecraft.Ant_Dep_Mec"/>
    <s v="Dimensions"/>
    <x v="2"/>
    <m/>
    <s v="\Mission.Space_Seg.Spacecraft.Ant_Dep_Mec\height\\default"/>
    <n v="2.794E-2"/>
    <m/>
    <m/>
    <s v="m"/>
    <s v="MEC"/>
    <m/>
    <s v="MEC"/>
    <x v="1"/>
    <n v="4"/>
    <s v="Mission (Mission)"/>
    <s v="Space_Seg (Space Segment)"/>
    <x v="2"/>
    <x v="11"/>
    <m/>
  </r>
  <r>
    <s v="Mission.Space_Seg.Spacecraft.Ant_Dep_Mec"/>
    <s v="Dimensions"/>
    <x v="3"/>
    <m/>
    <s v="\Mission.Space_Seg.Spacecraft.Ant_Dep_Mec\len\\default"/>
    <s v="-"/>
    <m/>
    <m/>
    <s v="m"/>
    <s v="MEC"/>
    <m/>
    <s v="MEC"/>
    <x v="1"/>
    <n v="4"/>
    <s v="Mission (Mission)"/>
    <s v="Space_Seg (Space Segment)"/>
    <x v="2"/>
    <x v="11"/>
    <m/>
  </r>
  <r>
    <s v="Mission.Space_Seg.Spacecraft.Ant_Dep_Mec"/>
    <m/>
    <x v="4"/>
    <m/>
    <s v="\Mission.Space_Seg.Spacecraft.Ant_Dep_Mec\m\\default"/>
    <n v="0.21"/>
    <n v="5"/>
    <n v="1.0499999999999999E-2"/>
    <s v="kg"/>
    <s v="MEC"/>
    <m/>
    <s v="MEC"/>
    <x v="1"/>
    <n v="4"/>
    <s v="Mission (Mission)"/>
    <s v="Space_Seg (Space Segment)"/>
    <x v="2"/>
    <x v="11"/>
    <m/>
  </r>
  <r>
    <s v="Mission.Space_Seg.Spacecraft.Ant_Dep_Mec"/>
    <m/>
    <x v="5"/>
    <m/>
    <s v="\Mission.Space_Seg.Spacecraft.Ant_Dep_Mec\P\\default"/>
    <n v="5.0000000000000001E-3"/>
    <m/>
    <m/>
    <s v="W"/>
    <s v="MEC"/>
    <m/>
    <s v="MEC"/>
    <x v="1"/>
    <n v="4"/>
    <s v="Mission (Mission)"/>
    <s v="Space_Seg (Space Segment)"/>
    <x v="2"/>
    <x v="11"/>
    <m/>
  </r>
  <r>
    <s v="Mission.Space_Seg.Spacecraft.Ant_Dep_Mec"/>
    <m/>
    <x v="6"/>
    <s v="LAU"/>
    <s v="\Mission.Space_Seg.Spacecraft.Ant_Dep_Mec\P_duty_cyc\LAU\default"/>
    <n v="-1"/>
    <m/>
    <m/>
    <s v="-"/>
    <s v="MEC"/>
    <m/>
    <s v="MEC"/>
    <x v="1"/>
    <n v="4"/>
    <s v="Mission (Mission)"/>
    <s v="Space_Seg (Space Segment)"/>
    <x v="2"/>
    <x v="11"/>
    <m/>
  </r>
  <r>
    <s v="Mission.Space_Seg.Spacecraft.Ant_Dep_Mec"/>
    <m/>
    <x v="6"/>
    <s v="SAF"/>
    <s v="\Mission.Space_Seg.Spacecraft.Ant_Dep_Mec\P_duty_cyc\SAF\default"/>
    <n v="-1"/>
    <m/>
    <m/>
    <s v="-"/>
    <s v="MEC"/>
    <m/>
    <s v="MEC"/>
    <x v="1"/>
    <n v="4"/>
    <s v="Mission (Mission)"/>
    <s v="Space_Seg (Space Segment)"/>
    <x v="2"/>
    <x v="11"/>
    <m/>
  </r>
  <r>
    <s v="Mission.Space_Seg.Spacecraft.Ant_Dep_Mec"/>
    <m/>
    <x v="6"/>
    <s v="OBS"/>
    <s v="\Mission.Space_Seg.Spacecraft.Ant_Dep_Mec\P_duty_cyc\OBS\default"/>
    <n v="-1"/>
    <m/>
    <m/>
    <s v="-"/>
    <s v="MEC"/>
    <m/>
    <s v="MEC"/>
    <x v="1"/>
    <n v="4"/>
    <s v="Mission (Mission)"/>
    <s v="Space_Seg (Space Segment)"/>
    <x v="2"/>
    <x v="11"/>
    <m/>
  </r>
  <r>
    <s v="Mission.Space_Seg.Spacecraft.Ant_Dep_Mec"/>
    <m/>
    <x v="6"/>
    <s v="COM"/>
    <s v="\Mission.Space_Seg.Spacecraft.Ant_Dep_Mec\P_duty_cyc\COM\default"/>
    <n v="0.01"/>
    <m/>
    <m/>
    <s v="-"/>
    <s v="MEC"/>
    <m/>
    <s v="MEC"/>
    <x v="1"/>
    <n v="4"/>
    <s v="Mission (Mission)"/>
    <s v="Space_Seg (Space Segment)"/>
    <x v="2"/>
    <x v="11"/>
    <m/>
  </r>
  <r>
    <s v="Mission.Space_Seg.Spacecraft.Ant_Dep_Mec"/>
    <m/>
    <x v="6"/>
    <s v="INJ"/>
    <s v="\Mission.Space_Seg.Spacecraft.Ant_Dep_Mec\P_duty_cyc\INJ\default"/>
    <n v="-1"/>
    <m/>
    <m/>
    <s v="-"/>
    <s v="MEC"/>
    <m/>
    <s v="MEC"/>
    <x v="1"/>
    <n v="4"/>
    <s v="Mission (Mission)"/>
    <s v="Space_Seg (Space Segment)"/>
    <x v="2"/>
    <x v="11"/>
    <m/>
  </r>
  <r>
    <s v="Mission.Space_Seg.Spacecraft.Ant_Dep_Mec"/>
    <m/>
    <x v="6"/>
    <s v="CRU"/>
    <s v="\Mission.Space_Seg.Spacecraft.Ant_Dep_Mec\P_duty_cyc\CRU\default"/>
    <n v="-1"/>
    <m/>
    <m/>
    <s v="-"/>
    <s v="MEC"/>
    <m/>
    <s v="MEC"/>
    <x v="1"/>
    <n v="4"/>
    <s v="Mission (Mission)"/>
    <s v="Space_Seg (Space Segment)"/>
    <x v="2"/>
    <x v="11"/>
    <m/>
  </r>
  <r>
    <s v="Mission.Space_Seg.Spacecraft.Ant_Dep_Mec"/>
    <m/>
    <x v="6"/>
    <s v="DEO"/>
    <s v="\Mission.Space_Seg.Spacecraft.Ant_Dep_Mec\P_duty_cyc\DEO\default"/>
    <n v="-1"/>
    <m/>
    <m/>
    <s v="-"/>
    <s v="MEC"/>
    <m/>
    <s v="MEC"/>
    <x v="1"/>
    <n v="4"/>
    <s v="Mission (Mission)"/>
    <s v="Space_Seg (Space Segment)"/>
    <x v="2"/>
    <x v="11"/>
    <m/>
  </r>
  <r>
    <s v="Mission.Space_Seg.Spacecraft.Ant_Dep_Mec"/>
    <m/>
    <x v="7"/>
    <m/>
    <s v="\Mission.Space_Seg.Spacecraft.Ant_Dep_Mec\redundancy.scheme\\default"/>
    <s v="-"/>
    <m/>
    <m/>
    <m/>
    <s v="MEC"/>
    <m/>
    <s v="MEC"/>
    <x v="1"/>
    <n v="4"/>
    <s v="Mission (Mission)"/>
    <s v="Space_Seg (Space Segment)"/>
    <x v="2"/>
    <x v="11"/>
    <m/>
  </r>
  <r>
    <s v="Mission.Space_Seg.Spacecraft.Ant_Dep_Mec"/>
    <m/>
    <x v="8"/>
    <m/>
    <s v="\Mission.Space_Seg.Spacecraft.Ant_Dep_Mec\redundancy.type\\default"/>
    <s v="-"/>
    <m/>
    <m/>
    <m/>
    <s v="MEC"/>
    <m/>
    <s v="MEC"/>
    <x v="1"/>
    <n v="4"/>
    <s v="Mission (Mission)"/>
    <s v="Space_Seg (Space Segment)"/>
    <x v="2"/>
    <x v="11"/>
    <m/>
  </r>
  <r>
    <s v="Mission.Space_Seg.Spacecraft.Ant_Dep_Mec"/>
    <m/>
    <x v="9"/>
    <m/>
    <s v="\Mission.Space_Seg.Spacecraft.Ant_Dep_Mec\redundancy.k\\default"/>
    <s v="-"/>
    <m/>
    <m/>
    <m/>
    <s v="MEC"/>
    <m/>
    <s v="MEC"/>
    <x v="1"/>
    <n v="4"/>
    <s v="Mission (Mission)"/>
    <s v="Space_Seg (Space Segment)"/>
    <x v="2"/>
    <x v="11"/>
    <m/>
  </r>
  <r>
    <s v="Mission.Space_Seg.Spacecraft.Ant_Dep_Mec"/>
    <m/>
    <x v="10"/>
    <m/>
    <s v="\Mission.Space_Seg.Spacecraft.Ant_Dep_Mec\redundancy.n\\default"/>
    <s v="-"/>
    <m/>
    <m/>
    <m/>
    <s v="MEC"/>
    <m/>
    <s v="MEC"/>
    <x v="1"/>
    <n v="4"/>
    <s v="Mission (Mission)"/>
    <s v="Space_Seg (Space Segment)"/>
    <x v="2"/>
    <x v="11"/>
    <m/>
  </r>
  <r>
    <s v="Mission.Space_Seg.Spacecraft.Ant_Dep_Mec"/>
    <m/>
    <x v="11"/>
    <m/>
    <s v="\Mission.Space_Seg.Spacecraft.Ant_Dep_Mec\Temp_oper_max\\default"/>
    <n v="135"/>
    <m/>
    <m/>
    <s v="°C"/>
    <s v="MEC"/>
    <m/>
    <s v="MEC"/>
    <x v="1"/>
    <n v="4"/>
    <s v="Mission (Mission)"/>
    <s v="Space_Seg (Space Segment)"/>
    <x v="2"/>
    <x v="11"/>
    <m/>
  </r>
  <r>
    <s v="Mission.Space_Seg.Spacecraft.Ant_Dep_Mec"/>
    <m/>
    <x v="12"/>
    <m/>
    <s v="\Mission.Space_Seg.Spacecraft.Ant_Dep_Mec\Temp_oper_min\\default"/>
    <n v="-135"/>
    <m/>
    <m/>
    <s v="°C"/>
    <s v="MEC"/>
    <m/>
    <s v="MEC"/>
    <x v="1"/>
    <n v="4"/>
    <s v="Mission (Mission)"/>
    <s v="Space_Seg (Space Segment)"/>
    <x v="2"/>
    <x v="11"/>
    <m/>
  </r>
  <r>
    <s v="Mission.Space_Seg.Spacecraft.Ant_Dep_Mec"/>
    <m/>
    <x v="13"/>
    <m/>
    <s v="\Mission.Space_Seg.Spacecraft.Ant_Dep_Mec\TRL\\default"/>
    <n v="9"/>
    <m/>
    <m/>
    <m/>
    <s v="MEC"/>
    <m/>
    <s v="MEC"/>
    <x v="1"/>
    <n v="4"/>
    <s v="Mission (Mission)"/>
    <s v="Space_Seg (Space Segment)"/>
    <x v="2"/>
    <x v="11"/>
    <m/>
  </r>
  <r>
    <s v="Mission.Space_Seg.Spacecraft.Ant_Dep_Mec"/>
    <s v="Dimensions"/>
    <x v="14"/>
    <m/>
    <s v="\Mission.Space_Seg.Spacecraft.Ant_Dep_Mec\wid\\default"/>
    <s v="-"/>
    <m/>
    <m/>
    <s v="m"/>
    <s v="MEC"/>
    <m/>
    <s v="MEC"/>
    <x v="1"/>
    <n v="4"/>
    <s v="Mission (Mission)"/>
    <s v="Space_Seg (Space Segment)"/>
    <x v="2"/>
    <x v="11"/>
    <m/>
  </r>
  <r>
    <s v="Mission.Space_Seg.Spacecraft.Ant_Downlink"/>
    <m/>
    <x v="0"/>
    <m/>
    <s v="\Mission.Space_Seg.Spacecraft.Ant_Downlink\_name_\\default"/>
    <s v="Downlink Antenna"/>
    <m/>
    <m/>
    <m/>
    <s v="COM"/>
    <m/>
    <s v="COM"/>
    <x v="0"/>
    <n v="4"/>
    <s v="Mission (Mission)"/>
    <s v="Space_Seg (Space Segment)"/>
    <x v="2"/>
    <x v="12"/>
    <m/>
  </r>
  <r>
    <s v="Mission.Space_Seg.Spacecraft.Ant_Downlink"/>
    <s v="Dimensions"/>
    <x v="1"/>
    <m/>
    <s v="\Mission.Space_Seg.Spacecraft.Ant_Downlink\diam\\default"/>
    <n v="0.1"/>
    <m/>
    <m/>
    <s v="m"/>
    <s v="COM"/>
    <m/>
    <s v="COM"/>
    <x v="1"/>
    <n v="4"/>
    <s v="Mission (Mission)"/>
    <s v="Space_Seg (Space Segment)"/>
    <x v="2"/>
    <x v="12"/>
    <m/>
  </r>
  <r>
    <s v="Mission.Space_Seg.Spacecraft.Ant_Downlink"/>
    <s v="Dimensions"/>
    <x v="2"/>
    <m/>
    <s v="\Mission.Space_Seg.Spacecraft.Ant_Downlink\height\\default"/>
    <s v="-"/>
    <m/>
    <m/>
    <s v="m"/>
    <s v="COM"/>
    <m/>
    <s v="COM"/>
    <x v="1"/>
    <n v="4"/>
    <s v="Mission (Mission)"/>
    <s v="Space_Seg (Space Segment)"/>
    <x v="2"/>
    <x v="12"/>
    <m/>
  </r>
  <r>
    <s v="Mission.Space_Seg.Spacecraft.Ant_Downlink"/>
    <s v="Dimensions"/>
    <x v="3"/>
    <m/>
    <s v="\Mission.Space_Seg.Spacecraft.Ant_Downlink\len\\default"/>
    <s v="-"/>
    <m/>
    <m/>
    <s v="m"/>
    <s v="COM"/>
    <m/>
    <s v="COM"/>
    <x v="1"/>
    <n v="4"/>
    <s v="Mission (Mission)"/>
    <s v="Space_Seg (Space Segment)"/>
    <x v="2"/>
    <x v="12"/>
    <m/>
  </r>
  <r>
    <s v="Mission.Space_Seg.Spacecraft.Ant_Downlink"/>
    <m/>
    <x v="4"/>
    <m/>
    <s v="\Mission.Space_Seg.Spacecraft.Ant_Downlink\m\\default"/>
    <n v="0.1"/>
    <n v="10"/>
    <n v="0.01"/>
    <s v="kg"/>
    <s v="COM"/>
    <m/>
    <s v="COM"/>
    <x v="1"/>
    <n v="4"/>
    <s v="Mission (Mission)"/>
    <s v="Space_Seg (Space Segment)"/>
    <x v="2"/>
    <x v="12"/>
    <m/>
  </r>
  <r>
    <s v="Mission.Space_Seg.Spacecraft.Ant_Downlink"/>
    <m/>
    <x v="5"/>
    <m/>
    <s v="\Mission.Space_Seg.Spacecraft.Ant_Downlink\P\\default"/>
    <s v="-"/>
    <m/>
    <m/>
    <s v="W"/>
    <s v="COM"/>
    <m/>
    <s v="COM"/>
    <x v="1"/>
    <n v="4"/>
    <s v="Mission (Mission)"/>
    <s v="Space_Seg (Space Segment)"/>
    <x v="2"/>
    <x v="12"/>
    <m/>
  </r>
  <r>
    <s v="Mission.Space_Seg.Spacecraft.Ant_Downlink"/>
    <m/>
    <x v="6"/>
    <m/>
    <s v="\Mission.Space_Seg.Spacecraft.Ant_Downlink\P_duty_cyc\\default"/>
    <s v="-"/>
    <m/>
    <m/>
    <s v="-"/>
    <s v="COM"/>
    <m/>
    <s v="COM"/>
    <x v="1"/>
    <n v="4"/>
    <s v="Mission (Mission)"/>
    <s v="Space_Seg (Space Segment)"/>
    <x v="2"/>
    <x v="12"/>
    <m/>
  </r>
  <r>
    <s v="Mission.Space_Seg.Spacecraft.Ant_Downlink"/>
    <m/>
    <x v="7"/>
    <m/>
    <s v="\Mission.Space_Seg.Spacecraft.Ant_Downlink\redundancy.scheme\\default"/>
    <s v="-"/>
    <m/>
    <m/>
    <m/>
    <s v="COM"/>
    <m/>
    <s v="COM"/>
    <x v="1"/>
    <n v="4"/>
    <s v="Mission (Mission)"/>
    <s v="Space_Seg (Space Segment)"/>
    <x v="2"/>
    <x v="12"/>
    <m/>
  </r>
  <r>
    <s v="Mission.Space_Seg.Spacecraft.Ant_Downlink"/>
    <m/>
    <x v="8"/>
    <m/>
    <s v="\Mission.Space_Seg.Spacecraft.Ant_Downlink\redundancy.type\\default"/>
    <s v="-"/>
    <m/>
    <m/>
    <m/>
    <s v="COM"/>
    <m/>
    <s v="COM"/>
    <x v="1"/>
    <n v="4"/>
    <s v="Mission (Mission)"/>
    <s v="Space_Seg (Space Segment)"/>
    <x v="2"/>
    <x v="12"/>
    <m/>
  </r>
  <r>
    <s v="Mission.Space_Seg.Spacecraft.Ant_Downlink"/>
    <m/>
    <x v="9"/>
    <m/>
    <s v="\Mission.Space_Seg.Spacecraft.Ant_Downlink\redundancy.k\\default"/>
    <s v="-"/>
    <m/>
    <m/>
    <m/>
    <s v="COM"/>
    <m/>
    <s v="COM"/>
    <x v="1"/>
    <n v="4"/>
    <s v="Mission (Mission)"/>
    <s v="Space_Seg (Space Segment)"/>
    <x v="2"/>
    <x v="12"/>
    <m/>
  </r>
  <r>
    <s v="Mission.Space_Seg.Spacecraft.Ant_Downlink"/>
    <m/>
    <x v="10"/>
    <m/>
    <s v="\Mission.Space_Seg.Spacecraft.Ant_Downlink\redundancy.n\\default"/>
    <s v="-"/>
    <m/>
    <m/>
    <m/>
    <s v="COM"/>
    <m/>
    <s v="COM"/>
    <x v="1"/>
    <n v="4"/>
    <s v="Mission (Mission)"/>
    <s v="Space_Seg (Space Segment)"/>
    <x v="2"/>
    <x v="12"/>
    <m/>
  </r>
  <r>
    <s v="Mission.Space_Seg.Spacecraft.Ant_Downlink"/>
    <m/>
    <x v="11"/>
    <m/>
    <s v="\Mission.Space_Seg.Spacecraft.Ant_Downlink\Temp_oper_max\\default"/>
    <n v="60"/>
    <m/>
    <m/>
    <s v="°C"/>
    <s v="COM"/>
    <m/>
    <s v="COM"/>
    <x v="1"/>
    <n v="4"/>
    <s v="Mission (Mission)"/>
    <s v="Space_Seg (Space Segment)"/>
    <x v="2"/>
    <x v="12"/>
    <m/>
  </r>
  <r>
    <s v="Mission.Space_Seg.Spacecraft.Ant_Downlink"/>
    <m/>
    <x v="12"/>
    <m/>
    <s v="\Mission.Space_Seg.Spacecraft.Ant_Downlink\Temp_oper_min\\default"/>
    <n v="-40"/>
    <m/>
    <m/>
    <s v="°C"/>
    <s v="COM"/>
    <m/>
    <s v="COM"/>
    <x v="1"/>
    <n v="4"/>
    <s v="Mission (Mission)"/>
    <s v="Space_Seg (Space Segment)"/>
    <x v="2"/>
    <x v="12"/>
    <m/>
  </r>
  <r>
    <s v="Mission.Space_Seg.Spacecraft.Ant_Downlink"/>
    <m/>
    <x v="13"/>
    <m/>
    <s v="\Mission.Space_Seg.Spacecraft.Ant_Downlink\TRL\\default"/>
    <s v="-"/>
    <m/>
    <m/>
    <m/>
    <s v="COM"/>
    <m/>
    <s v="COM"/>
    <x v="1"/>
    <n v="4"/>
    <s v="Mission (Mission)"/>
    <s v="Space_Seg (Space Segment)"/>
    <x v="2"/>
    <x v="12"/>
    <m/>
  </r>
  <r>
    <s v="Mission.Space_Seg.Spacecraft.Ant_Downlink"/>
    <s v="Dimensions"/>
    <x v="14"/>
    <m/>
    <s v="\Mission.Space_Seg.Spacecraft.Ant_Downlink\wid\\default"/>
    <s v="-"/>
    <m/>
    <m/>
    <s v="m"/>
    <s v="COM"/>
    <m/>
    <s v="COM"/>
    <x v="1"/>
    <n v="4"/>
    <s v="Mission (Mission)"/>
    <s v="Space_Seg (Space Segment)"/>
    <x v="2"/>
    <x v="12"/>
    <m/>
  </r>
  <r>
    <s v="Mission.Space_Seg.Spacecraft.AOGNCS"/>
    <m/>
    <x v="0"/>
    <m/>
    <s v="\Mission.Space_Seg.Spacecraft.AOGNCS\_name_\\default"/>
    <s v="Attitude, Orbit, Guidance, Navigation Control Subsystem"/>
    <m/>
    <m/>
    <m/>
    <s v="AOGNC"/>
    <m/>
    <s v="AOGNC"/>
    <x v="0"/>
    <n v="4"/>
    <s v="Mission (Mission)"/>
    <s v="Space_Seg (Space Segment)"/>
    <x v="2"/>
    <x v="13"/>
    <m/>
  </r>
  <r>
    <s v="Mission.Space_Seg.Spacecraft.AOGNCS"/>
    <m/>
    <x v="4"/>
    <m/>
    <s v="\Mission.Space_Seg.Spacecraft.AOGNCS\m\\default"/>
    <s v="-"/>
    <s v="-"/>
    <m/>
    <s v="kg"/>
    <s v="AOGNC"/>
    <m/>
    <s v="AOGNC"/>
    <x v="2"/>
    <n v="4"/>
    <s v="Mission (Mission)"/>
    <s v="Space_Seg (Space Segment)"/>
    <x v="2"/>
    <x v="13"/>
    <m/>
  </r>
  <r>
    <s v="Mission.Space_Seg.Spacecraft.AOGNCS"/>
    <m/>
    <x v="5"/>
    <m/>
    <s v="\Mission.Space_Seg.Spacecraft.AOGNCS\P\\default"/>
    <s v="-"/>
    <m/>
    <m/>
    <s v="W"/>
    <s v="AOGNC"/>
    <m/>
    <s v="AOGNC"/>
    <x v="2"/>
    <n v="4"/>
    <s v="Mission (Mission)"/>
    <s v="Space_Seg (Space Segment)"/>
    <x v="2"/>
    <x v="13"/>
    <m/>
  </r>
  <r>
    <s v="Mission.Space_Seg.Spacecraft.AOGNCS"/>
    <m/>
    <x v="6"/>
    <s v="LAU"/>
    <s v="\Mission.Space_Seg.Spacecraft.AOGNCS\P_duty_cyc\LAU\default"/>
    <n v="0"/>
    <m/>
    <m/>
    <s v="-"/>
    <s v="AOGNC"/>
    <m/>
    <s v="AOGNC"/>
    <x v="2"/>
    <n v="4"/>
    <s v="Mission (Mission)"/>
    <s v="Space_Seg (Space Segment)"/>
    <x v="2"/>
    <x v="13"/>
    <m/>
  </r>
  <r>
    <s v="Mission.Space_Seg.Spacecraft.AOGNCS"/>
    <m/>
    <x v="6"/>
    <s v="SAF"/>
    <s v="\Mission.Space_Seg.Spacecraft.AOGNCS\P_duty_cyc\SAF\default"/>
    <n v="1"/>
    <m/>
    <m/>
    <s v="-"/>
    <s v="AOGNC"/>
    <m/>
    <s v="AOGNC"/>
    <x v="2"/>
    <n v="4"/>
    <s v="Mission (Mission)"/>
    <s v="Space_Seg (Space Segment)"/>
    <x v="2"/>
    <x v="13"/>
    <m/>
  </r>
  <r>
    <s v="Mission.Space_Seg.Spacecraft.AOGNCS"/>
    <m/>
    <x v="6"/>
    <s v="OBS"/>
    <s v="\Mission.Space_Seg.Spacecraft.AOGNCS\P_duty_cyc\OBS\default"/>
    <n v="1"/>
    <m/>
    <m/>
    <s v="-"/>
    <s v="AOGNC"/>
    <m/>
    <s v="AOGNC"/>
    <x v="2"/>
    <n v="4"/>
    <s v="Mission (Mission)"/>
    <s v="Space_Seg (Space Segment)"/>
    <x v="2"/>
    <x v="13"/>
    <m/>
  </r>
  <r>
    <s v="Mission.Space_Seg.Spacecraft.AOGNCS"/>
    <m/>
    <x v="6"/>
    <s v="COM"/>
    <s v="\Mission.Space_Seg.Spacecraft.AOGNCS\P_duty_cyc\COM\default"/>
    <n v="1"/>
    <m/>
    <m/>
    <s v="-"/>
    <s v="AOGNC"/>
    <m/>
    <s v="AOGNC"/>
    <x v="2"/>
    <n v="4"/>
    <s v="Mission (Mission)"/>
    <s v="Space_Seg (Space Segment)"/>
    <x v="2"/>
    <x v="13"/>
    <m/>
  </r>
  <r>
    <s v="Mission.Space_Seg.Spacecraft.AOGNCS"/>
    <m/>
    <x v="6"/>
    <s v="INJ"/>
    <s v="\Mission.Space_Seg.Spacecraft.AOGNCS\P_duty_cyc\INJ\default"/>
    <n v="1"/>
    <m/>
    <m/>
    <s v="-"/>
    <s v="AOGNC"/>
    <m/>
    <s v="AOGNC"/>
    <x v="2"/>
    <n v="4"/>
    <s v="Mission (Mission)"/>
    <s v="Space_Seg (Space Segment)"/>
    <x v="2"/>
    <x v="13"/>
    <m/>
  </r>
  <r>
    <s v="Mission.Space_Seg.Spacecraft.AOGNCS"/>
    <m/>
    <x v="6"/>
    <s v="CRU"/>
    <s v="\Mission.Space_Seg.Spacecraft.AOGNCS\P_duty_cyc\CRU\default"/>
    <n v="1"/>
    <m/>
    <m/>
    <s v="-"/>
    <s v="AOGNC"/>
    <m/>
    <s v="AOGNC"/>
    <x v="2"/>
    <n v="4"/>
    <s v="Mission (Mission)"/>
    <s v="Space_Seg (Space Segment)"/>
    <x v="2"/>
    <x v="13"/>
    <m/>
  </r>
  <r>
    <s v="Mission.Space_Seg.Spacecraft.AOGNCS"/>
    <m/>
    <x v="6"/>
    <s v="DEO"/>
    <s v="\Mission.Space_Seg.Spacecraft.AOGNCS\P_duty_cyc\DEO\default"/>
    <n v="1"/>
    <m/>
    <m/>
    <s v="-"/>
    <s v="AOGNC"/>
    <m/>
    <s v="AOGNC"/>
    <x v="2"/>
    <n v="4"/>
    <s v="Mission (Mission)"/>
    <s v="Space_Seg (Space Segment)"/>
    <x v="2"/>
    <x v="13"/>
    <m/>
  </r>
  <r>
    <s v="Mission.Space_Seg.Spacecraft.bat"/>
    <m/>
    <x v="0"/>
    <m/>
    <s v="\Mission.Space_Seg.Spacecraft.bat\_name_\\default"/>
    <s v="Battery"/>
    <m/>
    <m/>
    <m/>
    <s v="PWR"/>
    <m/>
    <s v="PWR"/>
    <x v="0"/>
    <n v="4"/>
    <s v="Mission (Mission)"/>
    <s v="Space_Seg (Space Segment)"/>
    <x v="2"/>
    <x v="14"/>
    <m/>
  </r>
  <r>
    <s v="Mission.Space_Seg.Spacecraft.bat"/>
    <m/>
    <x v="18"/>
    <m/>
    <s v="\Mission.Space_Seg.Spacecraft.bat\bat_cap\\default"/>
    <s v="-"/>
    <m/>
    <m/>
    <s v="A·h"/>
    <s v="PWR"/>
    <m/>
    <s v="PWR"/>
    <x v="1"/>
    <n v="4"/>
    <s v="Mission (Mission)"/>
    <s v="Space_Seg (Space Segment)"/>
    <x v="2"/>
    <x v="14"/>
    <m/>
  </r>
  <r>
    <s v="Mission.Space_Seg.Spacecraft.bat"/>
    <s v="Dimensions"/>
    <x v="1"/>
    <m/>
    <s v="\Mission.Space_Seg.Spacecraft.bat\diam\\default"/>
    <s v="-"/>
    <m/>
    <m/>
    <s v="m"/>
    <s v="PWR"/>
    <m/>
    <s v="PWR"/>
    <x v="1"/>
    <n v="4"/>
    <s v="Mission (Mission)"/>
    <s v="Space_Seg (Space Segment)"/>
    <x v="2"/>
    <x v="14"/>
    <m/>
  </r>
  <r>
    <s v="Mission.Space_Seg.Spacecraft.bat"/>
    <s v="Dimensions"/>
    <x v="2"/>
    <m/>
    <s v="\Mission.Space_Seg.Spacecraft.bat\height\\default"/>
    <s v="-"/>
    <m/>
    <m/>
    <s v="m"/>
    <s v="PWR"/>
    <m/>
    <s v="PWR"/>
    <x v="1"/>
    <n v="4"/>
    <s v="Mission (Mission)"/>
    <s v="Space_Seg (Space Segment)"/>
    <x v="2"/>
    <x v="14"/>
    <m/>
  </r>
  <r>
    <s v="Mission.Space_Seg.Spacecraft.bat"/>
    <s v="Dimensions"/>
    <x v="3"/>
    <m/>
    <s v="\Mission.Space_Seg.Spacecraft.bat\len\\default"/>
    <s v="-"/>
    <m/>
    <m/>
    <s v="m"/>
    <s v="PWR"/>
    <m/>
    <s v="PWR"/>
    <x v="1"/>
    <n v="4"/>
    <s v="Mission (Mission)"/>
    <s v="Space_Seg (Space Segment)"/>
    <x v="2"/>
    <x v="14"/>
    <m/>
  </r>
  <r>
    <s v="Mission.Space_Seg.Spacecraft.bat"/>
    <m/>
    <x v="4"/>
    <m/>
    <s v="\Mission.Space_Seg.Spacecraft.bat\m\\default"/>
    <n v="5.6904453436478599"/>
    <n v="5"/>
    <n v="0.28452226718239298"/>
    <s v="kg"/>
    <s v="PWR"/>
    <m/>
    <s v="PWR"/>
    <x v="1"/>
    <n v="4"/>
    <s v="Mission (Mission)"/>
    <s v="Space_Seg (Space Segment)"/>
    <x v="2"/>
    <x v="14"/>
    <m/>
  </r>
  <r>
    <s v="Mission.Space_Seg.Spacecraft.bat"/>
    <m/>
    <x v="5"/>
    <m/>
    <s v="\Mission.Space_Seg.Spacecraft.bat\P\\default"/>
    <s v="-"/>
    <m/>
    <m/>
    <s v="W"/>
    <s v="PWR"/>
    <m/>
    <s v="PWR"/>
    <x v="1"/>
    <n v="4"/>
    <s v="Mission (Mission)"/>
    <s v="Space_Seg (Space Segment)"/>
    <x v="2"/>
    <x v="14"/>
    <m/>
  </r>
  <r>
    <s v="Mission.Space_Seg.Spacecraft.bat"/>
    <m/>
    <x v="6"/>
    <m/>
    <s v="\Mission.Space_Seg.Spacecraft.bat\P_duty_cyc\\default"/>
    <s v="-"/>
    <m/>
    <m/>
    <s v="-"/>
    <s v="PWR"/>
    <m/>
    <s v="PWR"/>
    <x v="1"/>
    <n v="4"/>
    <s v="Mission (Mission)"/>
    <s v="Space_Seg (Space Segment)"/>
    <x v="2"/>
    <x v="14"/>
    <m/>
  </r>
  <r>
    <s v="Mission.Space_Seg.Spacecraft.bat"/>
    <m/>
    <x v="7"/>
    <m/>
    <s v="\Mission.Space_Seg.Spacecraft.bat\redundancy.scheme\\default"/>
    <s v="-"/>
    <m/>
    <m/>
    <m/>
    <s v="PWR"/>
    <m/>
    <s v="PWR"/>
    <x v="1"/>
    <n v="4"/>
    <s v="Mission (Mission)"/>
    <s v="Space_Seg (Space Segment)"/>
    <x v="2"/>
    <x v="14"/>
    <m/>
  </r>
  <r>
    <s v="Mission.Space_Seg.Spacecraft.bat"/>
    <m/>
    <x v="8"/>
    <m/>
    <s v="\Mission.Space_Seg.Spacecraft.bat\redundancy.type\\default"/>
    <s v="-"/>
    <m/>
    <m/>
    <m/>
    <s v="PWR"/>
    <m/>
    <s v="PWR"/>
    <x v="1"/>
    <n v="4"/>
    <s v="Mission (Mission)"/>
    <s v="Space_Seg (Space Segment)"/>
    <x v="2"/>
    <x v="14"/>
    <m/>
  </r>
  <r>
    <s v="Mission.Space_Seg.Spacecraft.bat"/>
    <m/>
    <x v="9"/>
    <m/>
    <s v="\Mission.Space_Seg.Spacecraft.bat\redundancy.k\\default"/>
    <s v="-"/>
    <m/>
    <m/>
    <m/>
    <s v="PWR"/>
    <m/>
    <s v="PWR"/>
    <x v="1"/>
    <n v="4"/>
    <s v="Mission (Mission)"/>
    <s v="Space_Seg (Space Segment)"/>
    <x v="2"/>
    <x v="14"/>
    <m/>
  </r>
  <r>
    <s v="Mission.Space_Seg.Spacecraft.bat"/>
    <m/>
    <x v="10"/>
    <m/>
    <s v="\Mission.Space_Seg.Spacecraft.bat\redundancy.n\\default"/>
    <s v="-"/>
    <m/>
    <m/>
    <m/>
    <s v="PWR"/>
    <m/>
    <s v="PWR"/>
    <x v="1"/>
    <n v="4"/>
    <s v="Mission (Mission)"/>
    <s v="Space_Seg (Space Segment)"/>
    <x v="2"/>
    <x v="14"/>
    <m/>
  </r>
  <r>
    <s v="Mission.Space_Seg.Spacecraft.bat"/>
    <m/>
    <x v="11"/>
    <m/>
    <s v="\Mission.Space_Seg.Spacecraft.bat\Temp_oper_max\\default"/>
    <s v="-"/>
    <m/>
    <m/>
    <s v="°C"/>
    <s v="PWR"/>
    <m/>
    <s v="PWR"/>
    <x v="1"/>
    <n v="4"/>
    <s v="Mission (Mission)"/>
    <s v="Space_Seg (Space Segment)"/>
    <x v="2"/>
    <x v="14"/>
    <m/>
  </r>
  <r>
    <s v="Mission.Space_Seg.Spacecraft.bat"/>
    <m/>
    <x v="12"/>
    <m/>
    <s v="\Mission.Space_Seg.Spacecraft.bat\Temp_oper_min\\default"/>
    <s v="-"/>
    <m/>
    <m/>
    <s v="°C"/>
    <s v="PWR"/>
    <m/>
    <s v="PWR"/>
    <x v="1"/>
    <n v="4"/>
    <s v="Mission (Mission)"/>
    <s v="Space_Seg (Space Segment)"/>
    <x v="2"/>
    <x v="14"/>
    <m/>
  </r>
  <r>
    <s v="Mission.Space_Seg.Spacecraft.bat"/>
    <m/>
    <x v="13"/>
    <m/>
    <s v="\Mission.Space_Seg.Spacecraft.bat\TRL\\default"/>
    <s v="-"/>
    <m/>
    <m/>
    <m/>
    <s v="PWR"/>
    <m/>
    <s v="PWR"/>
    <x v="1"/>
    <n v="4"/>
    <s v="Mission (Mission)"/>
    <s v="Space_Seg (Space Segment)"/>
    <x v="2"/>
    <x v="14"/>
    <m/>
  </r>
  <r>
    <s v="Mission.Space_Seg.Spacecraft.bat"/>
    <s v="Dimensions"/>
    <x v="14"/>
    <m/>
    <s v="\Mission.Space_Seg.Spacecraft.bat\wid\\default"/>
    <s v="-"/>
    <m/>
    <m/>
    <s v="m"/>
    <s v="PWR"/>
    <m/>
    <s v="PWR"/>
    <x v="1"/>
    <n v="4"/>
    <s v="Mission (Mission)"/>
    <s v="Space_Seg (Space Segment)"/>
    <x v="2"/>
    <x v="14"/>
    <m/>
  </r>
  <r>
    <s v="Mission.Space_Seg.Spacecraft.COMS"/>
    <m/>
    <x v="0"/>
    <m/>
    <s v="\Mission.Space_Seg.Spacecraft.COMS\_name_\\default"/>
    <s v="Communications Subsystem"/>
    <m/>
    <m/>
    <m/>
    <s v="COM"/>
    <m/>
    <s v="COM"/>
    <x v="0"/>
    <n v="4"/>
    <s v="Mission (Mission)"/>
    <s v="Space_Seg (Space Segment)"/>
    <x v="2"/>
    <x v="15"/>
    <m/>
  </r>
  <r>
    <s v="Mission.Space_Seg.Spacecraft.COMS"/>
    <m/>
    <x v="4"/>
    <m/>
    <s v="\Mission.Space_Seg.Spacecraft.COMS\m\\default"/>
    <n v="41"/>
    <n v="20"/>
    <n v="8.1999999999999993"/>
    <s v="kg"/>
    <s v="COM"/>
    <m/>
    <s v="COM"/>
    <x v="2"/>
    <n v="4"/>
    <s v="Mission (Mission)"/>
    <s v="Space_Seg (Space Segment)"/>
    <x v="2"/>
    <x v="15"/>
    <m/>
  </r>
  <r>
    <s v="Mission.Space_Seg.Spacecraft.COMS"/>
    <m/>
    <x v="5"/>
    <m/>
    <s v="\Mission.Space_Seg.Spacecraft.COMS\P\\default"/>
    <n v="35.299999999999997"/>
    <m/>
    <m/>
    <s v="W"/>
    <s v="COM"/>
    <m/>
    <s v="COM"/>
    <x v="2"/>
    <n v="4"/>
    <s v="Mission (Mission)"/>
    <s v="Space_Seg (Space Segment)"/>
    <x v="2"/>
    <x v="15"/>
    <m/>
  </r>
  <r>
    <s v="Mission.Space_Seg.Spacecraft.COMS"/>
    <m/>
    <x v="6"/>
    <m/>
    <s v="\Mission.Space_Seg.Spacecraft.COMS\P_duty_cyc\\default"/>
    <s v="-"/>
    <m/>
    <m/>
    <s v="-"/>
    <s v="COM"/>
    <m/>
    <s v="COM"/>
    <x v="2"/>
    <n v="4"/>
    <s v="Mission (Mission)"/>
    <s v="Space_Seg (Space Segment)"/>
    <x v="2"/>
    <x v="15"/>
    <m/>
  </r>
  <r>
    <s v="Mission.Space_Seg.Spacecraft.INSS"/>
    <m/>
    <x v="0"/>
    <m/>
    <s v="\Mission.Space_Seg.Spacecraft.INSS\_name_\\default"/>
    <s v="Instrument Subsystem"/>
    <m/>
    <m/>
    <m/>
    <s v="INS"/>
    <m/>
    <s v="INS"/>
    <x v="0"/>
    <n v="4"/>
    <s v="Mission (Mission)"/>
    <s v="Space_Seg (Space Segment)"/>
    <x v="2"/>
    <x v="16"/>
    <m/>
  </r>
  <r>
    <s v="Mission.Space_Seg.Spacecraft.INSS"/>
    <m/>
    <x v="4"/>
    <m/>
    <s v="\Mission.Space_Seg.Spacecraft.INSS\m\\default"/>
    <s v="-"/>
    <s v="-"/>
    <m/>
    <s v="kg"/>
    <s v="INS"/>
    <m/>
    <s v="INS"/>
    <x v="2"/>
    <n v="4"/>
    <s v="Mission (Mission)"/>
    <s v="Space_Seg (Space Segment)"/>
    <x v="2"/>
    <x v="16"/>
    <m/>
  </r>
  <r>
    <s v="Mission.Space_Seg.Spacecraft.INSS"/>
    <m/>
    <x v="5"/>
    <m/>
    <s v="\Mission.Space_Seg.Spacecraft.INSS\P\\default"/>
    <s v="-"/>
    <m/>
    <m/>
    <s v="W"/>
    <s v="INS"/>
    <m/>
    <s v="INS"/>
    <x v="2"/>
    <n v="4"/>
    <s v="Mission (Mission)"/>
    <s v="Space_Seg (Space Segment)"/>
    <x v="2"/>
    <x v="16"/>
    <m/>
  </r>
  <r>
    <s v="Mission.Space_Seg.Spacecraft.INSS"/>
    <m/>
    <x v="6"/>
    <m/>
    <s v="\Mission.Space_Seg.Spacecraft.INSS\P_duty_cyc\\default"/>
    <s v="-"/>
    <m/>
    <m/>
    <s v="-"/>
    <s v="INS"/>
    <m/>
    <s v="INS"/>
    <x v="2"/>
    <n v="4"/>
    <s v="Mission (Mission)"/>
    <s v="Space_Seg (Space Segment)"/>
    <x v="2"/>
    <x v="16"/>
    <m/>
  </r>
  <r>
    <s v="Mission.Space_Seg.Spacecraft.MECS"/>
    <m/>
    <x v="0"/>
    <m/>
    <s v="\Mission.Space_Seg.Spacecraft.MECS\_name_\\default"/>
    <s v="Mechanism subsystem"/>
    <m/>
    <m/>
    <m/>
    <s v="MEC"/>
    <m/>
    <s v="MEC"/>
    <x v="0"/>
    <n v="4"/>
    <s v="Mission (Mission)"/>
    <s v="Space_Seg (Space Segment)"/>
    <x v="2"/>
    <x v="17"/>
    <m/>
  </r>
  <r>
    <s v="Mission.Space_Seg.Spacecraft.MECS"/>
    <m/>
    <x v="4"/>
    <m/>
    <s v="\Mission.Space_Seg.Spacecraft.MECS\m\\default"/>
    <n v="10.478"/>
    <n v="5"/>
    <n v="0.52390000000000003"/>
    <s v="kg"/>
    <s v="MEC"/>
    <m/>
    <s v="MEC"/>
    <x v="2"/>
    <n v="4"/>
    <s v="Mission (Mission)"/>
    <s v="Space_Seg (Space Segment)"/>
    <x v="2"/>
    <x v="17"/>
    <m/>
  </r>
  <r>
    <s v="Mission.Space_Seg.Spacecraft.MECS"/>
    <m/>
    <x v="5"/>
    <m/>
    <s v="\Mission.Space_Seg.Spacecraft.MECS\P\\default"/>
    <n v="2.42"/>
    <m/>
    <m/>
    <s v="W"/>
    <s v="MEC"/>
    <m/>
    <s v="MEC"/>
    <x v="2"/>
    <n v="4"/>
    <s v="Mission (Mission)"/>
    <s v="Space_Seg (Space Segment)"/>
    <x v="2"/>
    <x v="17"/>
    <m/>
  </r>
  <r>
    <s v="Mission.Space_Seg.Spacecraft.MECS"/>
    <m/>
    <x v="6"/>
    <s v="LAU"/>
    <s v="\Mission.Space_Seg.Spacecraft.MECS\P_duty_cyc\LAU\default"/>
    <n v="-1"/>
    <m/>
    <m/>
    <s v="-"/>
    <s v="MEC"/>
    <m/>
    <s v="MEC"/>
    <x v="2"/>
    <n v="4"/>
    <s v="Mission (Mission)"/>
    <s v="Space_Seg (Space Segment)"/>
    <x v="2"/>
    <x v="17"/>
    <m/>
  </r>
  <r>
    <s v="Mission.Space_Seg.Spacecraft.MECS"/>
    <m/>
    <x v="6"/>
    <s v="SAF"/>
    <s v="\Mission.Space_Seg.Spacecraft.MECS\P_duty_cyc\SAF\default"/>
    <n v="-1"/>
    <m/>
    <m/>
    <s v="-"/>
    <s v="MEC"/>
    <m/>
    <s v="MEC"/>
    <x v="2"/>
    <n v="4"/>
    <s v="Mission (Mission)"/>
    <s v="Space_Seg (Space Segment)"/>
    <x v="2"/>
    <x v="17"/>
    <m/>
  </r>
  <r>
    <s v="Mission.Space_Seg.Spacecraft.MECS"/>
    <m/>
    <x v="6"/>
    <s v="OBS"/>
    <s v="\Mission.Space_Seg.Spacecraft.MECS\P_duty_cyc\OBS\default"/>
    <n v="0.9"/>
    <m/>
    <m/>
    <s v="-"/>
    <s v="MEC"/>
    <m/>
    <s v="MEC"/>
    <x v="2"/>
    <n v="4"/>
    <s v="Mission (Mission)"/>
    <s v="Space_Seg (Space Segment)"/>
    <x v="2"/>
    <x v="17"/>
    <m/>
  </r>
  <r>
    <s v="Mission.Space_Seg.Spacecraft.MECS"/>
    <m/>
    <x v="6"/>
    <s v="COM"/>
    <s v="\Mission.Space_Seg.Spacecraft.MECS\P_duty_cyc\COM\default"/>
    <n v="0.1"/>
    <m/>
    <m/>
    <s v="-"/>
    <s v="MEC"/>
    <m/>
    <s v="MEC"/>
    <x v="2"/>
    <n v="4"/>
    <s v="Mission (Mission)"/>
    <s v="Space_Seg (Space Segment)"/>
    <x v="2"/>
    <x v="17"/>
    <m/>
  </r>
  <r>
    <s v="Mission.Space_Seg.Spacecraft.MECS"/>
    <m/>
    <x v="6"/>
    <s v="INJ"/>
    <s v="\Mission.Space_Seg.Spacecraft.MECS\P_duty_cyc\INJ\default"/>
    <n v="0.9"/>
    <m/>
    <m/>
    <s v="-"/>
    <s v="MEC"/>
    <m/>
    <s v="MEC"/>
    <x v="2"/>
    <n v="4"/>
    <s v="Mission (Mission)"/>
    <s v="Space_Seg (Space Segment)"/>
    <x v="2"/>
    <x v="17"/>
    <m/>
  </r>
  <r>
    <s v="Mission.Space_Seg.Spacecraft.MECS"/>
    <m/>
    <x v="6"/>
    <s v="CRU"/>
    <s v="\Mission.Space_Seg.Spacecraft.MECS\P_duty_cyc\CRU\default"/>
    <n v="0.9"/>
    <m/>
    <m/>
    <s v="-"/>
    <s v="MEC"/>
    <m/>
    <s v="MEC"/>
    <x v="2"/>
    <n v="4"/>
    <s v="Mission (Mission)"/>
    <s v="Space_Seg (Space Segment)"/>
    <x v="2"/>
    <x v="17"/>
    <m/>
  </r>
  <r>
    <s v="Mission.Space_Seg.Spacecraft.MECS"/>
    <m/>
    <x v="6"/>
    <s v="DEO"/>
    <s v="\Mission.Space_Seg.Spacecraft.MECS\P_duty_cyc\DEO\default"/>
    <n v="0.01"/>
    <m/>
    <m/>
    <s v="-"/>
    <s v="MEC"/>
    <m/>
    <s v="MEC"/>
    <x v="2"/>
    <n v="4"/>
    <s v="Mission (Mission)"/>
    <s v="Space_Seg (Space Segment)"/>
    <x v="2"/>
    <x v="17"/>
    <m/>
  </r>
  <r>
    <s v="Mission.Space_Seg.Spacecraft.MIMU_1"/>
    <m/>
    <x v="0"/>
    <m/>
    <s v="\Mission.Space_Seg.Spacecraft.MIMU_1\_name_\\default"/>
    <s v="MEMS IMU #1"/>
    <m/>
    <m/>
    <m/>
    <s v="AOGNC"/>
    <m/>
    <s v="AOGNC"/>
    <x v="0"/>
    <n v="4"/>
    <s v="Mission (Mission)"/>
    <s v="Space_Seg (Space Segment)"/>
    <x v="2"/>
    <x v="18"/>
    <m/>
  </r>
  <r>
    <s v="Mission.Space_Seg.Spacecraft.MIMU_1"/>
    <m/>
    <x v="19"/>
    <m/>
    <s v="\Mission.Space_Seg.Spacecraft.MIMU_1\bias_accel\\default"/>
    <n v="0.3"/>
    <m/>
    <m/>
    <s v="g_n"/>
    <s v="AOGNC"/>
    <m/>
    <s v="AOGNC"/>
    <x v="1"/>
    <n v="4"/>
    <s v="Mission (Mission)"/>
    <s v="Space_Seg (Space Segment)"/>
    <x v="2"/>
    <x v="18"/>
    <m/>
  </r>
  <r>
    <s v="Mission.Space_Seg.Spacecraft.MIMU_1"/>
    <m/>
    <x v="20"/>
    <m/>
    <s v="\Mission.Space_Seg.Spacecraft.MIMU_1\bias_gyro\\default"/>
    <n v="0.5"/>
    <m/>
    <m/>
    <s v="°/h"/>
    <s v="AOGNC"/>
    <m/>
    <s v="AOGNC"/>
    <x v="1"/>
    <n v="4"/>
    <s v="Mission (Mission)"/>
    <s v="Space_Seg (Space Segment)"/>
    <x v="2"/>
    <x v="18"/>
    <m/>
  </r>
  <r>
    <s v="Mission.Space_Seg.Spacecraft.MIMU_1"/>
    <s v="Dimensions"/>
    <x v="1"/>
    <m/>
    <s v="\Mission.Space_Seg.Spacecraft.MIMU_1\diam\\default"/>
    <n v="8.8900000000000007E-2"/>
    <m/>
    <m/>
    <s v="m"/>
    <s v="AOGNC"/>
    <m/>
    <s v="AOGNC"/>
    <x v="1"/>
    <n v="4"/>
    <s v="Mission (Mission)"/>
    <s v="Space_Seg (Space Segment)"/>
    <x v="2"/>
    <x v="18"/>
    <m/>
  </r>
  <r>
    <s v="Mission.Space_Seg.Spacecraft.MIMU_1"/>
    <s v="Dimensions"/>
    <x v="2"/>
    <m/>
    <s v="\Mission.Space_Seg.Spacecraft.MIMU_1\height\\default"/>
    <n v="8.5099999999999995E-2"/>
    <m/>
    <m/>
    <s v="m"/>
    <s v="AOGNC"/>
    <m/>
    <s v="AOGNC"/>
    <x v="1"/>
    <n v="4"/>
    <s v="Mission (Mission)"/>
    <s v="Space_Seg (Space Segment)"/>
    <x v="2"/>
    <x v="18"/>
    <m/>
  </r>
  <r>
    <s v="Mission.Space_Seg.Spacecraft.MIMU_1"/>
    <s v="Dimensions"/>
    <x v="3"/>
    <m/>
    <s v="\Mission.Space_Seg.Spacecraft.MIMU_1\len\\default"/>
    <s v="-"/>
    <m/>
    <m/>
    <s v="m"/>
    <s v="AOGNC"/>
    <m/>
    <s v="AOGNC"/>
    <x v="1"/>
    <n v="4"/>
    <s v="Mission (Mission)"/>
    <s v="Space_Seg (Space Segment)"/>
    <x v="2"/>
    <x v="18"/>
    <m/>
  </r>
  <r>
    <s v="Mission.Space_Seg.Spacecraft.MIMU_1"/>
    <m/>
    <x v="4"/>
    <m/>
    <s v="\Mission.Space_Seg.Spacecraft.MIMU_1\m\\default"/>
    <n v="0.75"/>
    <n v="5"/>
    <n v="3.7499999999999999E-2"/>
    <s v="kg"/>
    <s v="AOGNC"/>
    <m/>
    <s v="AOGNC"/>
    <x v="1"/>
    <n v="4"/>
    <s v="Mission (Mission)"/>
    <s v="Space_Seg (Space Segment)"/>
    <x v="2"/>
    <x v="18"/>
    <m/>
  </r>
  <r>
    <s v="Mission.Space_Seg.Spacecraft.MIMU_1"/>
    <m/>
    <x v="5"/>
    <m/>
    <s v="\Mission.Space_Seg.Spacecraft.MIMU_1\P\\default"/>
    <n v="12"/>
    <m/>
    <m/>
    <s v="W"/>
    <s v="AOGNC"/>
    <m/>
    <s v="AOGNC"/>
    <x v="1"/>
    <n v="4"/>
    <s v="Mission (Mission)"/>
    <s v="Space_Seg (Space Segment)"/>
    <x v="2"/>
    <x v="18"/>
    <m/>
  </r>
  <r>
    <s v="Mission.Space_Seg.Spacecraft.MIMU_1"/>
    <m/>
    <x v="6"/>
    <s v="LAU"/>
    <s v="\Mission.Space_Seg.Spacecraft.MIMU_1\P_duty_cyc\LAU\default"/>
    <n v="-1"/>
    <m/>
    <m/>
    <s v="-"/>
    <s v="AOGNC"/>
    <m/>
    <s v="AOGNC"/>
    <x v="1"/>
    <n v="4"/>
    <s v="Mission (Mission)"/>
    <s v="Space_Seg (Space Segment)"/>
    <x v="2"/>
    <x v="18"/>
    <m/>
  </r>
  <r>
    <s v="Mission.Space_Seg.Spacecraft.MIMU_1"/>
    <m/>
    <x v="6"/>
    <s v="SAF"/>
    <s v="\Mission.Space_Seg.Spacecraft.MIMU_1\P_duty_cyc\SAF\default"/>
    <n v="-1"/>
    <m/>
    <m/>
    <s v="-"/>
    <s v="AOGNC"/>
    <m/>
    <s v="AOGNC"/>
    <x v="1"/>
    <n v="4"/>
    <s v="Mission (Mission)"/>
    <s v="Space_Seg (Space Segment)"/>
    <x v="2"/>
    <x v="18"/>
    <m/>
  </r>
  <r>
    <s v="Mission.Space_Seg.Spacecraft.MIMU_1"/>
    <m/>
    <x v="6"/>
    <s v="OBS"/>
    <s v="\Mission.Space_Seg.Spacecraft.MIMU_1\P_duty_cyc\OBS\default"/>
    <n v="1"/>
    <m/>
    <m/>
    <s v="-"/>
    <s v="AOGNC"/>
    <m/>
    <s v="AOGNC"/>
    <x v="1"/>
    <n v="4"/>
    <s v="Mission (Mission)"/>
    <s v="Space_Seg (Space Segment)"/>
    <x v="2"/>
    <x v="18"/>
    <m/>
  </r>
  <r>
    <s v="Mission.Space_Seg.Spacecraft.MIMU_1"/>
    <m/>
    <x v="6"/>
    <s v="COM"/>
    <s v="\Mission.Space_Seg.Spacecraft.MIMU_1\P_duty_cyc\COM\default"/>
    <n v="1"/>
    <m/>
    <m/>
    <s v="-"/>
    <s v="AOGNC"/>
    <m/>
    <s v="AOGNC"/>
    <x v="1"/>
    <n v="4"/>
    <s v="Mission (Mission)"/>
    <s v="Space_Seg (Space Segment)"/>
    <x v="2"/>
    <x v="18"/>
    <m/>
  </r>
  <r>
    <s v="Mission.Space_Seg.Spacecraft.MIMU_1"/>
    <m/>
    <x v="6"/>
    <s v="INJ"/>
    <s v="\Mission.Space_Seg.Spacecraft.MIMU_1\P_duty_cyc\INJ\default"/>
    <n v="1"/>
    <m/>
    <m/>
    <s v="-"/>
    <s v="AOGNC"/>
    <m/>
    <s v="AOGNC"/>
    <x v="1"/>
    <n v="4"/>
    <s v="Mission (Mission)"/>
    <s v="Space_Seg (Space Segment)"/>
    <x v="2"/>
    <x v="18"/>
    <m/>
  </r>
  <r>
    <s v="Mission.Space_Seg.Spacecraft.MIMU_1"/>
    <m/>
    <x v="6"/>
    <s v="CRU"/>
    <s v="\Mission.Space_Seg.Spacecraft.MIMU_1\P_duty_cyc\CRU\default"/>
    <n v="1"/>
    <m/>
    <m/>
    <s v="-"/>
    <s v="AOGNC"/>
    <m/>
    <s v="AOGNC"/>
    <x v="1"/>
    <n v="4"/>
    <s v="Mission (Mission)"/>
    <s v="Space_Seg (Space Segment)"/>
    <x v="2"/>
    <x v="18"/>
    <m/>
  </r>
  <r>
    <s v="Mission.Space_Seg.Spacecraft.MIMU_1"/>
    <m/>
    <x v="6"/>
    <s v="DEO"/>
    <s v="\Mission.Space_Seg.Spacecraft.MIMU_1\P_duty_cyc\DEO\default"/>
    <n v="1"/>
    <m/>
    <m/>
    <s v="-"/>
    <s v="AOGNC"/>
    <m/>
    <s v="AOGNC"/>
    <x v="1"/>
    <n v="4"/>
    <s v="Mission (Mission)"/>
    <s v="Space_Seg (Space Segment)"/>
    <x v="2"/>
    <x v="18"/>
    <m/>
  </r>
  <r>
    <s v="Mission.Space_Seg.Spacecraft.MIMU_1"/>
    <m/>
    <x v="7"/>
    <m/>
    <s v="\Mission.Space_Seg.Spacecraft.MIMU_1\redundancy.scheme\\default"/>
    <s v="-"/>
    <m/>
    <m/>
    <m/>
    <s v="AOGNC"/>
    <m/>
    <s v="AOGNC"/>
    <x v="1"/>
    <n v="4"/>
    <s v="Mission (Mission)"/>
    <s v="Space_Seg (Space Segment)"/>
    <x v="2"/>
    <x v="18"/>
    <m/>
  </r>
  <r>
    <s v="Mission.Space_Seg.Spacecraft.MIMU_1"/>
    <m/>
    <x v="8"/>
    <m/>
    <s v="\Mission.Space_Seg.Spacecraft.MIMU_1\redundancy.type\\default"/>
    <s v="-"/>
    <m/>
    <m/>
    <m/>
    <s v="AOGNC"/>
    <m/>
    <s v="AOGNC"/>
    <x v="1"/>
    <n v="4"/>
    <s v="Mission (Mission)"/>
    <s v="Space_Seg (Space Segment)"/>
    <x v="2"/>
    <x v="18"/>
    <m/>
  </r>
  <r>
    <s v="Mission.Space_Seg.Spacecraft.MIMU_1"/>
    <m/>
    <x v="9"/>
    <m/>
    <s v="\Mission.Space_Seg.Spacecraft.MIMU_1\redundancy.k\\default"/>
    <n v="1"/>
    <m/>
    <m/>
    <m/>
    <s v="AOGNC"/>
    <m/>
    <s v="AOGNC"/>
    <x v="1"/>
    <n v="4"/>
    <s v="Mission (Mission)"/>
    <s v="Space_Seg (Space Segment)"/>
    <x v="2"/>
    <x v="18"/>
    <m/>
  </r>
  <r>
    <s v="Mission.Space_Seg.Spacecraft.MIMU_1"/>
    <m/>
    <x v="10"/>
    <m/>
    <s v="\Mission.Space_Seg.Spacecraft.MIMU_1\redundancy.n\\default"/>
    <n v="2"/>
    <m/>
    <m/>
    <m/>
    <s v="AOGNC"/>
    <m/>
    <s v="AOGNC"/>
    <x v="1"/>
    <n v="4"/>
    <s v="Mission (Mission)"/>
    <s v="Space_Seg (Space Segment)"/>
    <x v="2"/>
    <x v="18"/>
    <m/>
  </r>
  <r>
    <s v="Mission.Space_Seg.Spacecraft.MIMU_1"/>
    <m/>
    <x v="11"/>
    <m/>
    <s v="\Mission.Space_Seg.Spacecraft.MIMU_1\Temp_oper_max\\default"/>
    <n v="71"/>
    <m/>
    <m/>
    <s v="°C"/>
    <s v="AOGNC"/>
    <m/>
    <s v="AOGNC"/>
    <x v="1"/>
    <n v="4"/>
    <s v="Mission (Mission)"/>
    <s v="Space_Seg (Space Segment)"/>
    <x v="2"/>
    <x v="18"/>
    <m/>
  </r>
  <r>
    <s v="Mission.Space_Seg.Spacecraft.MIMU_1"/>
    <m/>
    <x v="12"/>
    <m/>
    <s v="\Mission.Space_Seg.Spacecraft.MIMU_1\Temp_oper_min\\default"/>
    <n v="-54"/>
    <m/>
    <m/>
    <s v="°C"/>
    <s v="AOGNC"/>
    <m/>
    <s v="AOGNC"/>
    <x v="1"/>
    <n v="4"/>
    <s v="Mission (Mission)"/>
    <s v="Space_Seg (Space Segment)"/>
    <x v="2"/>
    <x v="18"/>
    <m/>
  </r>
  <r>
    <s v="Mission.Space_Seg.Spacecraft.MIMU_1"/>
    <m/>
    <x v="13"/>
    <m/>
    <s v="\Mission.Space_Seg.Spacecraft.MIMU_1\TRL\\default"/>
    <n v="9"/>
    <m/>
    <m/>
    <m/>
    <s v="AOGNC"/>
    <m/>
    <s v="AOGNC"/>
    <x v="1"/>
    <n v="4"/>
    <s v="Mission (Mission)"/>
    <s v="Space_Seg (Space Segment)"/>
    <x v="2"/>
    <x v="18"/>
    <m/>
  </r>
  <r>
    <s v="Mission.Space_Seg.Spacecraft.MIMU_1"/>
    <s v="Dimensions"/>
    <x v="14"/>
    <m/>
    <s v="\Mission.Space_Seg.Spacecraft.MIMU_1\wid\\default"/>
    <s v="-"/>
    <m/>
    <m/>
    <s v="m"/>
    <s v="AOGNC"/>
    <m/>
    <s v="AOGNC"/>
    <x v="1"/>
    <n v="4"/>
    <s v="Mission (Mission)"/>
    <s v="Space_Seg (Space Segment)"/>
    <x v="2"/>
    <x v="18"/>
    <m/>
  </r>
  <r>
    <s v="Mission.Space_Seg.Spacecraft.MIMU_2"/>
    <m/>
    <x v="0"/>
    <m/>
    <s v="\Mission.Space_Seg.Spacecraft.MIMU_2\_name_\\default"/>
    <s v="MEMS IMU #2"/>
    <m/>
    <m/>
    <m/>
    <s v="AOGNC"/>
    <m/>
    <s v="AOGNC"/>
    <x v="0"/>
    <n v="4"/>
    <s v="Mission (Mission)"/>
    <s v="Space_Seg (Space Segment)"/>
    <x v="2"/>
    <x v="19"/>
    <m/>
  </r>
  <r>
    <s v="Mission.Space_Seg.Spacecraft.MIMU_2"/>
    <m/>
    <x v="19"/>
    <m/>
    <s v="\Mission.Space_Seg.Spacecraft.MIMU_2\bias_accel\\default"/>
    <n v="0.3"/>
    <m/>
    <m/>
    <s v="g_n"/>
    <s v="AOGNC"/>
    <m/>
    <s v="AOGNC"/>
    <x v="1"/>
    <n v="4"/>
    <s v="Mission (Mission)"/>
    <s v="Space_Seg (Space Segment)"/>
    <x v="2"/>
    <x v="19"/>
    <m/>
  </r>
  <r>
    <s v="Mission.Space_Seg.Spacecraft.MIMU_2"/>
    <m/>
    <x v="20"/>
    <m/>
    <s v="\Mission.Space_Seg.Spacecraft.MIMU_2\bias_gyro\\default"/>
    <n v="0.5"/>
    <m/>
    <m/>
    <s v="°/h"/>
    <s v="AOGNC"/>
    <m/>
    <s v="AOGNC"/>
    <x v="1"/>
    <n v="4"/>
    <s v="Mission (Mission)"/>
    <s v="Space_Seg (Space Segment)"/>
    <x v="2"/>
    <x v="19"/>
    <m/>
  </r>
  <r>
    <s v="Mission.Space_Seg.Spacecraft.MIMU_2"/>
    <s v="Dimensions"/>
    <x v="1"/>
    <m/>
    <s v="\Mission.Space_Seg.Spacecraft.MIMU_2\diam\\default"/>
    <n v="8.8900000000000007E-2"/>
    <m/>
    <m/>
    <s v="m"/>
    <s v="AOGNC"/>
    <m/>
    <s v="AOGNC"/>
    <x v="1"/>
    <n v="4"/>
    <s v="Mission (Mission)"/>
    <s v="Space_Seg (Space Segment)"/>
    <x v="2"/>
    <x v="19"/>
    <m/>
  </r>
  <r>
    <s v="Mission.Space_Seg.Spacecraft.MIMU_2"/>
    <s v="Dimensions"/>
    <x v="2"/>
    <m/>
    <s v="\Mission.Space_Seg.Spacecraft.MIMU_2\height\\default"/>
    <n v="8.5099999999999995E-2"/>
    <m/>
    <m/>
    <s v="m"/>
    <s v="AOGNC"/>
    <m/>
    <s v="AOGNC"/>
    <x v="1"/>
    <n v="4"/>
    <s v="Mission (Mission)"/>
    <s v="Space_Seg (Space Segment)"/>
    <x v="2"/>
    <x v="19"/>
    <m/>
  </r>
  <r>
    <s v="Mission.Space_Seg.Spacecraft.MIMU_2"/>
    <s v="Dimensions"/>
    <x v="3"/>
    <m/>
    <s v="\Mission.Space_Seg.Spacecraft.MIMU_2\len\\default"/>
    <s v="-"/>
    <m/>
    <m/>
    <s v="m"/>
    <s v="AOGNC"/>
    <m/>
    <s v="AOGNC"/>
    <x v="1"/>
    <n v="4"/>
    <s v="Mission (Mission)"/>
    <s v="Space_Seg (Space Segment)"/>
    <x v="2"/>
    <x v="19"/>
    <m/>
  </r>
  <r>
    <s v="Mission.Space_Seg.Spacecraft.MIMU_2"/>
    <m/>
    <x v="4"/>
    <m/>
    <s v="\Mission.Space_Seg.Spacecraft.MIMU_2\m\\default"/>
    <n v="0.75"/>
    <n v="5"/>
    <n v="3.7499999999999999E-2"/>
    <s v="kg"/>
    <s v="AOGNC"/>
    <m/>
    <s v="AOGNC"/>
    <x v="1"/>
    <n v="4"/>
    <s v="Mission (Mission)"/>
    <s v="Space_Seg (Space Segment)"/>
    <x v="2"/>
    <x v="19"/>
    <m/>
  </r>
  <r>
    <s v="Mission.Space_Seg.Spacecraft.MIMU_2"/>
    <m/>
    <x v="5"/>
    <m/>
    <s v="\Mission.Space_Seg.Spacecraft.MIMU_2\P\\default"/>
    <n v="12"/>
    <m/>
    <m/>
    <s v="W"/>
    <s v="AOGNC"/>
    <m/>
    <s v="AOGNC"/>
    <x v="1"/>
    <n v="4"/>
    <s v="Mission (Mission)"/>
    <s v="Space_Seg (Space Segment)"/>
    <x v="2"/>
    <x v="19"/>
    <m/>
  </r>
  <r>
    <s v="Mission.Space_Seg.Spacecraft.MIMU_2"/>
    <m/>
    <x v="6"/>
    <s v="LAU"/>
    <s v="\Mission.Space_Seg.Spacecraft.MIMU_2\P_duty_cyc\LAU\default"/>
    <n v="-1"/>
    <m/>
    <m/>
    <s v="-"/>
    <s v="AOGNC"/>
    <m/>
    <s v="AOGNC"/>
    <x v="1"/>
    <n v="4"/>
    <s v="Mission (Mission)"/>
    <s v="Space_Seg (Space Segment)"/>
    <x v="2"/>
    <x v="19"/>
    <m/>
  </r>
  <r>
    <s v="Mission.Space_Seg.Spacecraft.MIMU_2"/>
    <m/>
    <x v="6"/>
    <s v="SAF"/>
    <s v="\Mission.Space_Seg.Spacecraft.MIMU_2\P_duty_cyc\SAF\default"/>
    <n v="-1"/>
    <m/>
    <m/>
    <s v="-"/>
    <s v="AOGNC"/>
    <m/>
    <s v="AOGNC"/>
    <x v="1"/>
    <n v="4"/>
    <s v="Mission (Mission)"/>
    <s v="Space_Seg (Space Segment)"/>
    <x v="2"/>
    <x v="19"/>
    <m/>
  </r>
  <r>
    <s v="Mission.Space_Seg.Spacecraft.MIMU_2"/>
    <m/>
    <x v="6"/>
    <s v="OBS"/>
    <s v="\Mission.Space_Seg.Spacecraft.MIMU_2\P_duty_cyc\OBS\default"/>
    <n v="1"/>
    <m/>
    <m/>
    <s v="-"/>
    <s v="AOGNC"/>
    <m/>
    <s v="AOGNC"/>
    <x v="1"/>
    <n v="4"/>
    <s v="Mission (Mission)"/>
    <s v="Space_Seg (Space Segment)"/>
    <x v="2"/>
    <x v="19"/>
    <m/>
  </r>
  <r>
    <s v="Mission.Space_Seg.Spacecraft.MIMU_2"/>
    <m/>
    <x v="6"/>
    <s v="COM"/>
    <s v="\Mission.Space_Seg.Spacecraft.MIMU_2\P_duty_cyc\COM\default"/>
    <n v="1"/>
    <m/>
    <m/>
    <s v="-"/>
    <s v="AOGNC"/>
    <m/>
    <s v="AOGNC"/>
    <x v="1"/>
    <n v="4"/>
    <s v="Mission (Mission)"/>
    <s v="Space_Seg (Space Segment)"/>
    <x v="2"/>
    <x v="19"/>
    <m/>
  </r>
  <r>
    <s v="Mission.Space_Seg.Spacecraft.MIMU_2"/>
    <m/>
    <x v="6"/>
    <s v="INJ"/>
    <s v="\Mission.Space_Seg.Spacecraft.MIMU_2\P_duty_cyc\INJ\default"/>
    <n v="1"/>
    <m/>
    <m/>
    <s v="-"/>
    <s v="AOGNC"/>
    <m/>
    <s v="AOGNC"/>
    <x v="1"/>
    <n v="4"/>
    <s v="Mission (Mission)"/>
    <s v="Space_Seg (Space Segment)"/>
    <x v="2"/>
    <x v="19"/>
    <m/>
  </r>
  <r>
    <s v="Mission.Space_Seg.Spacecraft.MIMU_2"/>
    <m/>
    <x v="6"/>
    <s v="CRU"/>
    <s v="\Mission.Space_Seg.Spacecraft.MIMU_2\P_duty_cyc\CRU\default"/>
    <n v="1"/>
    <m/>
    <m/>
    <s v="-"/>
    <s v="AOGNC"/>
    <m/>
    <s v="AOGNC"/>
    <x v="1"/>
    <n v="4"/>
    <s v="Mission (Mission)"/>
    <s v="Space_Seg (Space Segment)"/>
    <x v="2"/>
    <x v="19"/>
    <m/>
  </r>
  <r>
    <s v="Mission.Space_Seg.Spacecraft.MIMU_2"/>
    <m/>
    <x v="6"/>
    <s v="DEO"/>
    <s v="\Mission.Space_Seg.Spacecraft.MIMU_2\P_duty_cyc\DEO\default"/>
    <n v="1"/>
    <m/>
    <m/>
    <s v="-"/>
    <s v="AOGNC"/>
    <m/>
    <s v="AOGNC"/>
    <x v="1"/>
    <n v="4"/>
    <s v="Mission (Mission)"/>
    <s v="Space_Seg (Space Segment)"/>
    <x v="2"/>
    <x v="19"/>
    <m/>
  </r>
  <r>
    <s v="Mission.Space_Seg.Spacecraft.MIMU_2"/>
    <m/>
    <x v="7"/>
    <m/>
    <s v="\Mission.Space_Seg.Spacecraft.MIMU_2\redundancy.scheme\\default"/>
    <s v="-"/>
    <m/>
    <m/>
    <m/>
    <s v="AOGNC"/>
    <m/>
    <s v="AOGNC"/>
    <x v="1"/>
    <n v="4"/>
    <s v="Mission (Mission)"/>
    <s v="Space_Seg (Space Segment)"/>
    <x v="2"/>
    <x v="19"/>
    <m/>
  </r>
  <r>
    <s v="Mission.Space_Seg.Spacecraft.MIMU_2"/>
    <m/>
    <x v="8"/>
    <m/>
    <s v="\Mission.Space_Seg.Spacecraft.MIMU_2\redundancy.type\\default"/>
    <s v="-"/>
    <m/>
    <m/>
    <m/>
    <s v="AOGNC"/>
    <m/>
    <s v="AOGNC"/>
    <x v="1"/>
    <n v="4"/>
    <s v="Mission (Mission)"/>
    <s v="Space_Seg (Space Segment)"/>
    <x v="2"/>
    <x v="19"/>
    <m/>
  </r>
  <r>
    <s v="Mission.Space_Seg.Spacecraft.MIMU_2"/>
    <m/>
    <x v="9"/>
    <m/>
    <s v="\Mission.Space_Seg.Spacecraft.MIMU_2\redundancy.k\\default"/>
    <n v="1"/>
    <m/>
    <m/>
    <m/>
    <s v="AOGNC"/>
    <m/>
    <s v="AOGNC"/>
    <x v="1"/>
    <n v="4"/>
    <s v="Mission (Mission)"/>
    <s v="Space_Seg (Space Segment)"/>
    <x v="2"/>
    <x v="19"/>
    <m/>
  </r>
  <r>
    <s v="Mission.Space_Seg.Spacecraft.MIMU_2"/>
    <m/>
    <x v="10"/>
    <m/>
    <s v="\Mission.Space_Seg.Spacecraft.MIMU_2\redundancy.n\\default"/>
    <n v="2"/>
    <m/>
    <m/>
    <m/>
    <s v="AOGNC"/>
    <m/>
    <s v="AOGNC"/>
    <x v="1"/>
    <n v="4"/>
    <s v="Mission (Mission)"/>
    <s v="Space_Seg (Space Segment)"/>
    <x v="2"/>
    <x v="19"/>
    <m/>
  </r>
  <r>
    <s v="Mission.Space_Seg.Spacecraft.MIMU_2"/>
    <m/>
    <x v="11"/>
    <m/>
    <s v="\Mission.Space_Seg.Spacecraft.MIMU_2\Temp_oper_max\\default"/>
    <n v="71"/>
    <m/>
    <m/>
    <s v="°C"/>
    <s v="AOGNC"/>
    <m/>
    <s v="AOGNC"/>
    <x v="1"/>
    <n v="4"/>
    <s v="Mission (Mission)"/>
    <s v="Space_Seg (Space Segment)"/>
    <x v="2"/>
    <x v="19"/>
    <m/>
  </r>
  <r>
    <s v="Mission.Space_Seg.Spacecraft.MIMU_2"/>
    <m/>
    <x v="12"/>
    <m/>
    <s v="\Mission.Space_Seg.Spacecraft.MIMU_2\Temp_oper_min\\default"/>
    <n v="-54"/>
    <m/>
    <m/>
    <s v="°C"/>
    <s v="AOGNC"/>
    <m/>
    <s v="AOGNC"/>
    <x v="1"/>
    <n v="4"/>
    <s v="Mission (Mission)"/>
    <s v="Space_Seg (Space Segment)"/>
    <x v="2"/>
    <x v="19"/>
    <m/>
  </r>
  <r>
    <s v="Mission.Space_Seg.Spacecraft.MIMU_2"/>
    <m/>
    <x v="13"/>
    <m/>
    <s v="\Mission.Space_Seg.Spacecraft.MIMU_2\TRL\\default"/>
    <n v="9"/>
    <m/>
    <m/>
    <m/>
    <s v="AOGNC"/>
    <m/>
    <s v="AOGNC"/>
    <x v="1"/>
    <n v="4"/>
    <s v="Mission (Mission)"/>
    <s v="Space_Seg (Space Segment)"/>
    <x v="2"/>
    <x v="19"/>
    <m/>
  </r>
  <r>
    <s v="Mission.Space_Seg.Spacecraft.MIMU_2"/>
    <s v="Dimensions"/>
    <x v="14"/>
    <m/>
    <s v="\Mission.Space_Seg.Spacecraft.MIMU_2\wid\\default"/>
    <s v="-"/>
    <m/>
    <m/>
    <s v="m"/>
    <s v="AOGNC"/>
    <m/>
    <s v="AOGNC"/>
    <x v="1"/>
    <n v="4"/>
    <s v="Mission (Mission)"/>
    <s v="Space_Seg (Space Segment)"/>
    <x v="2"/>
    <x v="19"/>
    <m/>
  </r>
  <r>
    <s v="Mission.Space_Seg.Spacecraft.MMHTank"/>
    <m/>
    <x v="0"/>
    <m/>
    <s v="\Mission.Space_Seg.Spacecraft.MMHTank\_name_\\default"/>
    <s v="MMH_Tank"/>
    <m/>
    <m/>
    <m/>
    <s v="CPROP"/>
    <m/>
    <s v="CPROP"/>
    <x v="0"/>
    <n v="4"/>
    <s v="Mission (Mission)"/>
    <s v="Space_Seg (Space Segment)"/>
    <x v="2"/>
    <x v="20"/>
    <m/>
  </r>
  <r>
    <s v="Mission.Space_Seg.Spacecraft.MMHTank"/>
    <s v="Dimensions"/>
    <x v="1"/>
    <m/>
    <s v="\Mission.Space_Seg.Spacecraft.MMHTank\diam\\default"/>
    <n v="0.6"/>
    <m/>
    <m/>
    <s v="m"/>
    <s v="CPROP"/>
    <m/>
    <s v="CPROP"/>
    <x v="1"/>
    <n v="4"/>
    <s v="Mission (Mission)"/>
    <s v="Space_Seg (Space Segment)"/>
    <x v="2"/>
    <x v="20"/>
    <m/>
  </r>
  <r>
    <s v="Mission.Space_Seg.Spacecraft.MMHTank"/>
    <s v="Dimensions"/>
    <x v="2"/>
    <m/>
    <s v="\Mission.Space_Seg.Spacecraft.MMHTank\height\\default"/>
    <n v="0.89600000000000002"/>
    <m/>
    <m/>
    <s v="m"/>
    <s v="CPROP"/>
    <m/>
    <s v="CPROP"/>
    <x v="1"/>
    <n v="4"/>
    <s v="Mission (Mission)"/>
    <s v="Space_Seg (Space Segment)"/>
    <x v="2"/>
    <x v="20"/>
    <m/>
  </r>
  <r>
    <s v="Mission.Space_Seg.Spacecraft.MMHTank"/>
    <m/>
    <x v="4"/>
    <m/>
    <s v="\Mission.Space_Seg.Spacecraft.MMHTank\m\\default"/>
    <n v="13.5"/>
    <n v="20"/>
    <n v="2.7"/>
    <s v="kg"/>
    <s v="CPROP"/>
    <m/>
    <s v="CPROP"/>
    <x v="1"/>
    <n v="4"/>
    <s v="Mission (Mission)"/>
    <s v="Space_Seg (Space Segment)"/>
    <x v="2"/>
    <x v="20"/>
    <m/>
  </r>
  <r>
    <s v="Mission.Space_Seg.Spacecraft.MMHTank"/>
    <m/>
    <x v="5"/>
    <m/>
    <s v="\Mission.Space_Seg.Spacecraft.MMHTank\P\\default"/>
    <n v="0"/>
    <m/>
    <m/>
    <s v="W"/>
    <s v="CPROP"/>
    <m/>
    <s v="CPROP"/>
    <x v="1"/>
    <n v="4"/>
    <s v="Mission (Mission)"/>
    <s v="Space_Seg (Space Segment)"/>
    <x v="2"/>
    <x v="20"/>
    <m/>
  </r>
  <r>
    <s v="Mission.Space_Seg.Spacecraft.MMHTank"/>
    <m/>
    <x v="6"/>
    <m/>
    <s v="\Mission.Space_Seg.Spacecraft.MMHTank\P_duty_cyc\\default"/>
    <n v="-1"/>
    <m/>
    <m/>
    <s v="-"/>
    <s v="CPROP"/>
    <m/>
    <s v="CPROP"/>
    <x v="1"/>
    <n v="4"/>
    <s v="Mission (Mission)"/>
    <s v="Space_Seg (Space Segment)"/>
    <x v="2"/>
    <x v="20"/>
    <m/>
  </r>
  <r>
    <s v="Mission.Space_Seg.Spacecraft.MMHTank"/>
    <m/>
    <x v="7"/>
    <m/>
    <s v="\Mission.Space_Seg.Spacecraft.MMHTank\redundancy.scheme\\default"/>
    <s v="no"/>
    <m/>
    <m/>
    <m/>
    <s v="CPROP"/>
    <m/>
    <s v="CPROP"/>
    <x v="1"/>
    <n v="4"/>
    <s v="Mission (Mission)"/>
    <s v="Space_Seg (Space Segment)"/>
    <x v="2"/>
    <x v="20"/>
    <m/>
  </r>
  <r>
    <s v="Mission.Space_Seg.Spacecraft.MMHTank"/>
    <m/>
    <x v="8"/>
    <m/>
    <s v="\Mission.Space_Seg.Spacecraft.MMHTank\redundancy.type\\default"/>
    <s v="N/A"/>
    <m/>
    <m/>
    <m/>
    <s v="CPROP"/>
    <m/>
    <s v="CPROP"/>
    <x v="1"/>
    <n v="4"/>
    <s v="Mission (Mission)"/>
    <s v="Space_Seg (Space Segment)"/>
    <x v="2"/>
    <x v="20"/>
    <m/>
  </r>
  <r>
    <s v="Mission.Space_Seg.Spacecraft.MMHTank"/>
    <m/>
    <x v="9"/>
    <m/>
    <s v="\Mission.Space_Seg.Spacecraft.MMHTank\redundancy.k\\default"/>
    <s v="N/A"/>
    <m/>
    <m/>
    <m/>
    <s v="CPROP"/>
    <m/>
    <s v="CPROP"/>
    <x v="1"/>
    <n v="4"/>
    <s v="Mission (Mission)"/>
    <s v="Space_Seg (Space Segment)"/>
    <x v="2"/>
    <x v="20"/>
    <m/>
  </r>
  <r>
    <s v="Mission.Space_Seg.Spacecraft.MMHTank"/>
    <m/>
    <x v="10"/>
    <m/>
    <s v="\Mission.Space_Seg.Spacecraft.MMHTank\redundancy.n\\default"/>
    <s v="N/A"/>
    <m/>
    <m/>
    <m/>
    <s v="CPROP"/>
    <m/>
    <s v="CPROP"/>
    <x v="1"/>
    <n v="4"/>
    <s v="Mission (Mission)"/>
    <s v="Space_Seg (Space Segment)"/>
    <x v="2"/>
    <x v="20"/>
    <m/>
  </r>
  <r>
    <s v="Mission.Space_Seg.Spacecraft.MMHTank"/>
    <m/>
    <x v="11"/>
    <m/>
    <s v="\Mission.Space_Seg.Spacecraft.MMHTank\Temp_oper_max\\default"/>
    <n v="87"/>
    <m/>
    <m/>
    <s v="°C"/>
    <s v="CPROP"/>
    <m/>
    <s v="CPROP"/>
    <x v="1"/>
    <n v="4"/>
    <s v="Mission (Mission)"/>
    <s v="Space_Seg (Space Segment)"/>
    <x v="2"/>
    <x v="20"/>
    <m/>
  </r>
  <r>
    <s v="Mission.Space_Seg.Spacecraft.MMHTank"/>
    <m/>
    <x v="12"/>
    <m/>
    <s v="\Mission.Space_Seg.Spacecraft.MMHTank\Temp_oper_min\\default"/>
    <n v="-52"/>
    <m/>
    <m/>
    <s v="°C"/>
    <s v="CPROP"/>
    <m/>
    <s v="CPROP"/>
    <x v="1"/>
    <n v="4"/>
    <s v="Mission (Mission)"/>
    <s v="Space_Seg (Space Segment)"/>
    <x v="2"/>
    <x v="20"/>
    <m/>
  </r>
  <r>
    <s v="Mission.Space_Seg.Spacecraft.MMHTank"/>
    <m/>
    <x v="13"/>
    <m/>
    <s v="\Mission.Space_Seg.Spacecraft.MMHTank\TRL\\default"/>
    <n v="9"/>
    <m/>
    <m/>
    <m/>
    <s v="CPROP"/>
    <m/>
    <s v="CPROP"/>
    <x v="1"/>
    <n v="4"/>
    <s v="Mission (Mission)"/>
    <s v="Space_Seg (Space Segment)"/>
    <x v="2"/>
    <x v="20"/>
    <m/>
  </r>
  <r>
    <s v="Mission.Space_Seg.Spacecraft.MMHTank"/>
    <m/>
    <x v="21"/>
    <m/>
    <s v="\Mission.Space_Seg.Spacecraft.MMHTank\Vol\\default"/>
    <n v="0.17649999999999999"/>
    <m/>
    <m/>
    <s v="m³"/>
    <s v="CPROP"/>
    <m/>
    <s v="CPROP"/>
    <x v="1"/>
    <n v="4"/>
    <s v="Mission (Mission)"/>
    <s v="Space_Seg (Space Segment)"/>
    <x v="2"/>
    <x v="20"/>
    <m/>
  </r>
  <r>
    <s v="Mission.Space_Seg.Spacecraft.NTOTank"/>
    <m/>
    <x v="0"/>
    <m/>
    <s v="\Mission.Space_Seg.Spacecraft.NTOTank\_name_\\default"/>
    <s v="NTO_Tank"/>
    <m/>
    <m/>
    <m/>
    <s v="CPROP"/>
    <m/>
    <s v="CPROP"/>
    <x v="0"/>
    <n v="4"/>
    <s v="Mission (Mission)"/>
    <s v="Space_Seg (Space Segment)"/>
    <x v="2"/>
    <x v="21"/>
    <m/>
  </r>
  <r>
    <s v="Mission.Space_Seg.Spacecraft.NTOTank"/>
    <s v="Dimensions"/>
    <x v="1"/>
    <m/>
    <s v="\Mission.Space_Seg.Spacecraft.NTOTank\diam\\default"/>
    <n v="0.6"/>
    <m/>
    <m/>
    <s v="m"/>
    <s v="CPROP"/>
    <m/>
    <s v="CPROP"/>
    <x v="1"/>
    <n v="4"/>
    <s v="Mission (Mission)"/>
    <s v="Space_Seg (Space Segment)"/>
    <x v="2"/>
    <x v="21"/>
    <m/>
  </r>
  <r>
    <s v="Mission.Space_Seg.Spacecraft.NTOTank"/>
    <s v="Dimensions"/>
    <x v="2"/>
    <m/>
    <s v="\Mission.Space_Seg.Spacecraft.NTOTank\height\\default"/>
    <n v="0.89600000000000002"/>
    <m/>
    <m/>
    <s v="m"/>
    <s v="CPROP"/>
    <m/>
    <s v="CPROP"/>
    <x v="1"/>
    <n v="4"/>
    <s v="Mission (Mission)"/>
    <s v="Space_Seg (Space Segment)"/>
    <x v="2"/>
    <x v="21"/>
    <m/>
  </r>
  <r>
    <s v="Mission.Space_Seg.Spacecraft.NTOTank"/>
    <m/>
    <x v="4"/>
    <m/>
    <s v="\Mission.Space_Seg.Spacecraft.NTOTank\m\\default"/>
    <n v="13.5"/>
    <n v="20"/>
    <n v="2.7"/>
    <s v="kg"/>
    <s v="CPROP"/>
    <m/>
    <s v="CPROP"/>
    <x v="1"/>
    <n v="4"/>
    <s v="Mission (Mission)"/>
    <s v="Space_Seg (Space Segment)"/>
    <x v="2"/>
    <x v="21"/>
    <m/>
  </r>
  <r>
    <s v="Mission.Space_Seg.Spacecraft.NTOTank"/>
    <m/>
    <x v="5"/>
    <m/>
    <s v="\Mission.Space_Seg.Spacecraft.NTOTank\P\\default"/>
    <n v="0"/>
    <m/>
    <m/>
    <s v="W"/>
    <s v="CPROP"/>
    <m/>
    <s v="CPROP"/>
    <x v="1"/>
    <n v="4"/>
    <s v="Mission (Mission)"/>
    <s v="Space_Seg (Space Segment)"/>
    <x v="2"/>
    <x v="21"/>
    <m/>
  </r>
  <r>
    <s v="Mission.Space_Seg.Spacecraft.NTOTank"/>
    <m/>
    <x v="6"/>
    <m/>
    <s v="\Mission.Space_Seg.Spacecraft.NTOTank\P_duty_cyc\\default"/>
    <n v="-1"/>
    <m/>
    <m/>
    <s v="-"/>
    <s v="CPROP"/>
    <m/>
    <s v="CPROP"/>
    <x v="1"/>
    <n v="4"/>
    <s v="Mission (Mission)"/>
    <s v="Space_Seg (Space Segment)"/>
    <x v="2"/>
    <x v="21"/>
    <m/>
  </r>
  <r>
    <s v="Mission.Space_Seg.Spacecraft.NTOTank"/>
    <m/>
    <x v="7"/>
    <m/>
    <s v="\Mission.Space_Seg.Spacecraft.NTOTank\redundancy.scheme\\default"/>
    <s v="no"/>
    <m/>
    <m/>
    <m/>
    <s v="CPROP"/>
    <m/>
    <s v="CPROP"/>
    <x v="1"/>
    <n v="4"/>
    <s v="Mission (Mission)"/>
    <s v="Space_Seg (Space Segment)"/>
    <x v="2"/>
    <x v="21"/>
    <m/>
  </r>
  <r>
    <s v="Mission.Space_Seg.Spacecraft.NTOTank"/>
    <m/>
    <x v="8"/>
    <m/>
    <s v="\Mission.Space_Seg.Spacecraft.NTOTank\redundancy.type\\default"/>
    <s v="N/A"/>
    <m/>
    <m/>
    <m/>
    <s v="CPROP"/>
    <m/>
    <s v="CPROP"/>
    <x v="1"/>
    <n v="4"/>
    <s v="Mission (Mission)"/>
    <s v="Space_Seg (Space Segment)"/>
    <x v="2"/>
    <x v="21"/>
    <m/>
  </r>
  <r>
    <s v="Mission.Space_Seg.Spacecraft.NTOTank"/>
    <m/>
    <x v="9"/>
    <m/>
    <s v="\Mission.Space_Seg.Spacecraft.NTOTank\redundancy.k\\default"/>
    <s v="N/A"/>
    <m/>
    <m/>
    <m/>
    <s v="CPROP"/>
    <m/>
    <s v="CPROP"/>
    <x v="1"/>
    <n v="4"/>
    <s v="Mission (Mission)"/>
    <s v="Space_Seg (Space Segment)"/>
    <x v="2"/>
    <x v="21"/>
    <m/>
  </r>
  <r>
    <s v="Mission.Space_Seg.Spacecraft.NTOTank"/>
    <m/>
    <x v="10"/>
    <m/>
    <s v="\Mission.Space_Seg.Spacecraft.NTOTank\redundancy.n\\default"/>
    <s v="N/A"/>
    <m/>
    <m/>
    <m/>
    <s v="CPROP"/>
    <m/>
    <s v="CPROP"/>
    <x v="1"/>
    <n v="4"/>
    <s v="Mission (Mission)"/>
    <s v="Space_Seg (Space Segment)"/>
    <x v="2"/>
    <x v="21"/>
    <m/>
  </r>
  <r>
    <s v="Mission.Space_Seg.Spacecraft.NTOTank"/>
    <m/>
    <x v="11"/>
    <m/>
    <s v="\Mission.Space_Seg.Spacecraft.NTOTank\Temp_oper_max\\default"/>
    <n v="21"/>
    <m/>
    <m/>
    <s v="°C"/>
    <s v="CPROP"/>
    <m/>
    <s v="CPROP"/>
    <x v="1"/>
    <n v="4"/>
    <s v="Mission (Mission)"/>
    <s v="Space_Seg (Space Segment)"/>
    <x v="2"/>
    <x v="21"/>
    <m/>
  </r>
  <r>
    <s v="Mission.Space_Seg.Spacecraft.NTOTank"/>
    <m/>
    <x v="12"/>
    <m/>
    <s v="\Mission.Space_Seg.Spacecraft.NTOTank\Temp_oper_min\\default"/>
    <n v="11"/>
    <m/>
    <m/>
    <s v="°C"/>
    <s v="CPROP"/>
    <m/>
    <s v="CPROP"/>
    <x v="1"/>
    <n v="4"/>
    <s v="Mission (Mission)"/>
    <s v="Space_Seg (Space Segment)"/>
    <x v="2"/>
    <x v="21"/>
    <m/>
  </r>
  <r>
    <s v="Mission.Space_Seg.Spacecraft.NTOTank"/>
    <m/>
    <x v="13"/>
    <m/>
    <s v="\Mission.Space_Seg.Spacecraft.NTOTank\TRL\\default"/>
    <n v="9"/>
    <m/>
    <m/>
    <m/>
    <s v="CPROP"/>
    <m/>
    <s v="CPROP"/>
    <x v="1"/>
    <n v="4"/>
    <s v="Mission (Mission)"/>
    <s v="Space_Seg (Space Segment)"/>
    <x v="2"/>
    <x v="21"/>
    <m/>
  </r>
  <r>
    <s v="Mission.Space_Seg.Spacecraft.NTOTank"/>
    <m/>
    <x v="21"/>
    <m/>
    <s v="\Mission.Space_Seg.Spacecraft.NTOTank\Vol\\default"/>
    <n v="0.17649999999999999"/>
    <m/>
    <m/>
    <s v="m³"/>
    <s v="CPROP"/>
    <m/>
    <s v="CPROP"/>
    <x v="1"/>
    <n v="4"/>
    <s v="Mission (Mission)"/>
    <s v="Space_Seg (Space Segment)"/>
    <x v="2"/>
    <x v="21"/>
    <m/>
  </r>
  <r>
    <s v="Mission.Space_Seg.Spacecraft.ObC"/>
    <m/>
    <x v="0"/>
    <m/>
    <s v="\Mission.Space_Seg.Spacecraft.ObC\_name_\\default"/>
    <s v="OnboardComputer"/>
    <m/>
    <m/>
    <m/>
    <s v="COM"/>
    <m/>
    <s v="COM"/>
    <x v="0"/>
    <n v="4"/>
    <s v="Mission (Mission)"/>
    <s v="Space_Seg (Space Segment)"/>
    <x v="2"/>
    <x v="22"/>
    <m/>
  </r>
  <r>
    <s v="Mission.Space_Seg.Spacecraft.ObC"/>
    <m/>
    <x v="2"/>
    <m/>
    <s v="\Mission.Space_Seg.Spacecraft.ObC\height\\default"/>
    <n v="233.35"/>
    <m/>
    <m/>
    <s v="mm"/>
    <s v="COM"/>
    <m/>
    <s v="COM"/>
    <x v="2"/>
    <n v="4"/>
    <s v="Mission (Mission)"/>
    <s v="Space_Seg (Space Segment)"/>
    <x v="2"/>
    <x v="22"/>
    <m/>
  </r>
  <r>
    <s v="Mission.Space_Seg.Spacecraft.ObC"/>
    <m/>
    <x v="3"/>
    <m/>
    <s v="\Mission.Space_Seg.Spacecraft.ObC\len\\default"/>
    <n v="100"/>
    <m/>
    <m/>
    <s v="mm"/>
    <s v="COM"/>
    <m/>
    <s v="COM"/>
    <x v="2"/>
    <n v="4"/>
    <s v="Mission (Mission)"/>
    <s v="Space_Seg (Space Segment)"/>
    <x v="2"/>
    <x v="22"/>
    <m/>
  </r>
  <r>
    <s v="Mission.Space_Seg.Spacecraft.ObC"/>
    <m/>
    <x v="4"/>
    <m/>
    <s v="\Mission.Space_Seg.Spacecraft.ObC\m\\default"/>
    <n v="12"/>
    <m/>
    <m/>
    <s v="kg"/>
    <s v="COM"/>
    <m/>
    <s v="COM"/>
    <x v="2"/>
    <n v="4"/>
    <s v="Mission (Mission)"/>
    <s v="Space_Seg (Space Segment)"/>
    <x v="2"/>
    <x v="22"/>
    <m/>
  </r>
  <r>
    <s v="Mission.Space_Seg.Spacecraft.ObC"/>
    <m/>
    <x v="5"/>
    <m/>
    <s v="\Mission.Space_Seg.Spacecraft.ObC\P\\default"/>
    <n v="70"/>
    <m/>
    <m/>
    <s v="W"/>
    <s v="COM"/>
    <m/>
    <s v="COM"/>
    <x v="2"/>
    <n v="4"/>
    <s v="Mission (Mission)"/>
    <s v="Space_Seg (Space Segment)"/>
    <x v="2"/>
    <x v="22"/>
    <m/>
  </r>
  <r>
    <s v="Mission.Space_Seg.Spacecraft.ObC"/>
    <m/>
    <x v="14"/>
    <m/>
    <s v="\Mission.Space_Seg.Spacecraft.ObC\wid\\default"/>
    <n v="270"/>
    <m/>
    <m/>
    <s v="mm"/>
    <s v="COM"/>
    <m/>
    <s v="COM"/>
    <x v="2"/>
    <n v="4"/>
    <s v="Mission (Mission)"/>
    <s v="Space_Seg (Space Segment)"/>
    <x v="2"/>
    <x v="22"/>
    <m/>
  </r>
  <r>
    <s v="Mission.Space_Seg.Spacecraft.ObC.ObCU"/>
    <m/>
    <x v="0"/>
    <m/>
    <s v="\Mission.Space_Seg.Spacecraft.ObC.ObCU\_name_\\default"/>
    <s v="OnboardComputerUnit"/>
    <m/>
    <m/>
    <m/>
    <s v="COM"/>
    <m/>
    <s v="COM"/>
    <x v="0"/>
    <n v="5"/>
    <s v="Mission (Mission)"/>
    <s v="Space_Seg (Space Segment)"/>
    <x v="2"/>
    <x v="22"/>
    <s v="ObCU (OnboardComputerUnit)"/>
  </r>
  <r>
    <s v="Mission.Space_Seg.Spacecraft.ObC.ObCU"/>
    <m/>
    <x v="2"/>
    <m/>
    <s v="\Mission.Space_Seg.Spacecraft.ObC.ObCU\height\\default"/>
    <s v="-"/>
    <m/>
    <m/>
    <s v="mm"/>
    <s v="COM"/>
    <m/>
    <s v="COM"/>
    <x v="2"/>
    <n v="5"/>
    <s v="Mission (Mission)"/>
    <s v="Space_Seg (Space Segment)"/>
    <x v="2"/>
    <x v="22"/>
    <s v="ObCU (OnboardComputerUnit)"/>
  </r>
  <r>
    <s v="Mission.Space_Seg.Spacecraft.ObC.ObCU"/>
    <m/>
    <x v="4"/>
    <m/>
    <s v="\Mission.Space_Seg.Spacecraft.ObC.ObCU\m\\default"/>
    <n v="6"/>
    <m/>
    <m/>
    <s v="kg"/>
    <s v="COM"/>
    <m/>
    <s v="COM"/>
    <x v="2"/>
    <n v="5"/>
    <s v="Mission (Mission)"/>
    <s v="Space_Seg (Space Segment)"/>
    <x v="2"/>
    <x v="22"/>
    <s v="ObCU (OnboardComputerUnit)"/>
  </r>
  <r>
    <s v="Mission.Space_Seg.Spacecraft.ObC.ObCU"/>
    <m/>
    <x v="5"/>
    <m/>
    <s v="\Mission.Space_Seg.Spacecraft.ObC.ObCU\P\\default"/>
    <n v="35"/>
    <m/>
    <m/>
    <s v="W"/>
    <s v="COM"/>
    <m/>
    <s v="COM"/>
    <x v="2"/>
    <n v="5"/>
    <s v="Mission (Mission)"/>
    <s v="Space_Seg (Space Segment)"/>
    <x v="2"/>
    <x v="22"/>
    <s v="ObCU (OnboardComputerUnit)"/>
  </r>
  <r>
    <s v="Mission.Space_Seg.Spacecraft.ObC.ObCU_2"/>
    <m/>
    <x v="0"/>
    <m/>
    <s v="\Mission.Space_Seg.Spacecraft.ObC.ObCU_2\_name_\\default"/>
    <s v="OnboardComputerUnit #2"/>
    <m/>
    <m/>
    <m/>
    <s v="COM"/>
    <m/>
    <s v="COM"/>
    <x v="0"/>
    <n v="5"/>
    <s v="Mission (Mission)"/>
    <s v="Space_Seg (Space Segment)"/>
    <x v="2"/>
    <x v="22"/>
    <s v="ObCU_2 (OnboardComputerUnit #2)"/>
  </r>
  <r>
    <s v="Mission.Space_Seg.Spacecraft.ObC.ObCU_2"/>
    <m/>
    <x v="2"/>
    <m/>
    <s v="\Mission.Space_Seg.Spacecraft.ObC.ObCU_2\height\\default"/>
    <s v="-"/>
    <m/>
    <m/>
    <s v="mm"/>
    <s v="COM"/>
    <m/>
    <s v="COM"/>
    <x v="2"/>
    <n v="5"/>
    <s v="Mission (Mission)"/>
    <s v="Space_Seg (Space Segment)"/>
    <x v="2"/>
    <x v="22"/>
    <s v="ObCU_2 (OnboardComputerUnit #2)"/>
  </r>
  <r>
    <s v="Mission.Space_Seg.Spacecraft.ObC.ObCU_2"/>
    <m/>
    <x v="4"/>
    <m/>
    <s v="\Mission.Space_Seg.Spacecraft.ObC.ObCU_2\m\\default"/>
    <n v="6"/>
    <m/>
    <m/>
    <s v="kg"/>
    <s v="COM"/>
    <m/>
    <s v="COM"/>
    <x v="2"/>
    <n v="5"/>
    <s v="Mission (Mission)"/>
    <s v="Space_Seg (Space Segment)"/>
    <x v="2"/>
    <x v="22"/>
    <s v="ObCU_2 (OnboardComputerUnit #2)"/>
  </r>
  <r>
    <s v="Mission.Space_Seg.Spacecraft.ObC.ObCU_2"/>
    <m/>
    <x v="5"/>
    <m/>
    <s v="\Mission.Space_Seg.Spacecraft.ObC.ObCU_2\P\\default"/>
    <n v="35"/>
    <m/>
    <m/>
    <s v="W"/>
    <s v="COM"/>
    <m/>
    <s v="COM"/>
    <x v="2"/>
    <n v="5"/>
    <s v="Mission (Mission)"/>
    <s v="Space_Seg (Space Segment)"/>
    <x v="2"/>
    <x v="22"/>
    <s v="ObCU_2 (OnboardComputerUnit #2)"/>
  </r>
  <r>
    <s v="Mission.Space_Seg.Spacecraft.Orbit"/>
    <m/>
    <x v="0"/>
    <m/>
    <s v="\Mission.Space_Seg.Spacecraft.Orbit\_name_\\default"/>
    <s v="Orbit_Data"/>
    <m/>
    <m/>
    <m/>
    <s v="MIS"/>
    <m/>
    <s v="MIS"/>
    <x v="0"/>
    <n v="4"/>
    <s v="Mission (Mission)"/>
    <s v="Space_Seg (Space Segment)"/>
    <x v="2"/>
    <x v="23"/>
    <m/>
  </r>
  <r>
    <s v="Mission.Space_Seg.Spacecraft.Orbit"/>
    <m/>
    <x v="15"/>
    <m/>
    <s v="\Mission.Space_Seg.Spacecraft.Orbit\delta_v\\default"/>
    <n v="45"/>
    <m/>
    <m/>
    <s v="m/s"/>
    <s v="MIS"/>
    <m/>
    <s v="MIS"/>
    <x v="2"/>
    <n v="4"/>
    <s v="Mission (Mission)"/>
    <s v="Space_Seg (Space Segment)"/>
    <x v="2"/>
    <x v="23"/>
    <m/>
  </r>
  <r>
    <s v="Mission.Space_Seg.Spacecraft.Orbit"/>
    <m/>
    <x v="22"/>
    <m/>
    <s v="\Mission.Space_Seg.Spacecraft.Orbit\dur_eclipse\\default"/>
    <n v="2092"/>
    <m/>
    <m/>
    <s v="s"/>
    <s v="MIS"/>
    <m/>
    <s v="MIS"/>
    <x v="2"/>
    <n v="4"/>
    <s v="Mission (Mission)"/>
    <s v="Space_Seg (Space Segment)"/>
    <x v="2"/>
    <x v="23"/>
    <m/>
  </r>
  <r>
    <s v="Mission.Space_Seg.Spacecraft.Orbit"/>
    <m/>
    <x v="23"/>
    <m/>
    <s v="\Mission.Space_Seg.Spacecraft.Orbit\ɸ\\default"/>
    <n v="0.78500000000000003"/>
    <m/>
    <m/>
    <s v="rad"/>
    <s v="MIS"/>
    <m/>
    <s v="MIS"/>
    <x v="2"/>
    <n v="4"/>
    <s v="Mission (Mission)"/>
    <s v="Space_Seg (Space Segment)"/>
    <x v="2"/>
    <x v="23"/>
    <m/>
  </r>
  <r>
    <s v="Mission.Space_Seg.Spacecraft.Orbit"/>
    <m/>
    <x v="24"/>
    <m/>
    <s v="\Mission.Space_Seg.Spacecraft.Orbit\T_d\\default"/>
    <n v="7092"/>
    <m/>
    <m/>
    <s v="s"/>
    <s v="MIS"/>
    <m/>
    <s v="MIS"/>
    <x v="2"/>
    <n v="4"/>
    <s v="Mission (Mission)"/>
    <s v="Space_Seg (Space Segment)"/>
    <x v="2"/>
    <x v="23"/>
    <m/>
  </r>
  <r>
    <s v="Mission.Space_Seg.Spacecraft.pcdu"/>
    <m/>
    <x v="0"/>
    <m/>
    <s v="\Mission.Space_Seg.Spacecraft.pcdu\_name_\\default"/>
    <s v="PCDU"/>
    <m/>
    <m/>
    <m/>
    <s v="PWR"/>
    <m/>
    <s v="PWR"/>
    <x v="0"/>
    <n v="4"/>
    <s v="Mission (Mission)"/>
    <s v="Space_Seg (Space Segment)"/>
    <x v="2"/>
    <x v="24"/>
    <m/>
  </r>
  <r>
    <s v="Mission.Space_Seg.Spacecraft.pcdu"/>
    <s v="Dimensions"/>
    <x v="1"/>
    <m/>
    <s v="\Mission.Space_Seg.Spacecraft.pcdu\diam\\default"/>
    <s v="-"/>
    <m/>
    <m/>
    <s v="m"/>
    <s v="PWR"/>
    <m/>
    <s v="PWR"/>
    <x v="1"/>
    <n v="4"/>
    <s v="Mission (Mission)"/>
    <s v="Space_Seg (Space Segment)"/>
    <x v="2"/>
    <x v="24"/>
    <m/>
  </r>
  <r>
    <s v="Mission.Space_Seg.Spacecraft.pcdu"/>
    <s v="Dimensions"/>
    <x v="2"/>
    <m/>
    <s v="\Mission.Space_Seg.Spacecraft.pcdu\height\\default"/>
    <s v="-"/>
    <m/>
    <m/>
    <s v="m"/>
    <s v="PWR"/>
    <m/>
    <s v="PWR"/>
    <x v="1"/>
    <n v="4"/>
    <s v="Mission (Mission)"/>
    <s v="Space_Seg (Space Segment)"/>
    <x v="2"/>
    <x v="24"/>
    <m/>
  </r>
  <r>
    <s v="Mission.Space_Seg.Spacecraft.pcdu"/>
    <s v="Dimensions"/>
    <x v="3"/>
    <m/>
    <s v="\Mission.Space_Seg.Spacecraft.pcdu\len\\default"/>
    <s v="-"/>
    <m/>
    <m/>
    <s v="m"/>
    <s v="PWR"/>
    <m/>
    <s v="PWR"/>
    <x v="1"/>
    <n v="4"/>
    <s v="Mission (Mission)"/>
    <s v="Space_Seg (Space Segment)"/>
    <x v="2"/>
    <x v="24"/>
    <m/>
  </r>
  <r>
    <s v="Mission.Space_Seg.Spacecraft.pcdu"/>
    <m/>
    <x v="4"/>
    <m/>
    <s v="\Mission.Space_Seg.Spacecraft.pcdu\m\\default"/>
    <n v="20"/>
    <n v="5"/>
    <n v="1"/>
    <s v="kg"/>
    <s v="PWR"/>
    <m/>
    <s v="PWR"/>
    <x v="1"/>
    <n v="4"/>
    <s v="Mission (Mission)"/>
    <s v="Space_Seg (Space Segment)"/>
    <x v="2"/>
    <x v="24"/>
    <m/>
  </r>
  <r>
    <s v="Mission.Space_Seg.Spacecraft.pcdu"/>
    <m/>
    <x v="5"/>
    <m/>
    <s v="\Mission.Space_Seg.Spacecraft.pcdu\P\\default"/>
    <s v="-"/>
    <m/>
    <m/>
    <s v="W"/>
    <s v="PWR"/>
    <m/>
    <s v="PWR"/>
    <x v="1"/>
    <n v="4"/>
    <s v="Mission (Mission)"/>
    <s v="Space_Seg (Space Segment)"/>
    <x v="2"/>
    <x v="24"/>
    <m/>
  </r>
  <r>
    <s v="Mission.Space_Seg.Spacecraft.pcdu"/>
    <m/>
    <x v="6"/>
    <m/>
    <s v="\Mission.Space_Seg.Spacecraft.pcdu\P_duty_cyc\\default"/>
    <s v="-"/>
    <m/>
    <m/>
    <s v="-"/>
    <s v="PWR"/>
    <m/>
    <s v="PWR"/>
    <x v="1"/>
    <n v="4"/>
    <s v="Mission (Mission)"/>
    <s v="Space_Seg (Space Segment)"/>
    <x v="2"/>
    <x v="24"/>
    <m/>
  </r>
  <r>
    <s v="Mission.Space_Seg.Spacecraft.pcdu"/>
    <m/>
    <x v="7"/>
    <m/>
    <s v="\Mission.Space_Seg.Spacecraft.pcdu\redundancy.scheme\\default"/>
    <s v="-"/>
    <m/>
    <m/>
    <m/>
    <s v="PWR"/>
    <m/>
    <s v="PWR"/>
    <x v="1"/>
    <n v="4"/>
    <s v="Mission (Mission)"/>
    <s v="Space_Seg (Space Segment)"/>
    <x v="2"/>
    <x v="24"/>
    <m/>
  </r>
  <r>
    <s v="Mission.Space_Seg.Spacecraft.pcdu"/>
    <m/>
    <x v="8"/>
    <m/>
    <s v="\Mission.Space_Seg.Spacecraft.pcdu\redundancy.type\\default"/>
    <s v="-"/>
    <m/>
    <m/>
    <m/>
    <s v="PWR"/>
    <m/>
    <s v="PWR"/>
    <x v="1"/>
    <n v="4"/>
    <s v="Mission (Mission)"/>
    <s v="Space_Seg (Space Segment)"/>
    <x v="2"/>
    <x v="24"/>
    <m/>
  </r>
  <r>
    <s v="Mission.Space_Seg.Spacecraft.pcdu"/>
    <m/>
    <x v="9"/>
    <m/>
    <s v="\Mission.Space_Seg.Spacecraft.pcdu\redundancy.k\\default"/>
    <s v="-"/>
    <m/>
    <m/>
    <m/>
    <s v="PWR"/>
    <m/>
    <s v="PWR"/>
    <x v="1"/>
    <n v="4"/>
    <s v="Mission (Mission)"/>
    <s v="Space_Seg (Space Segment)"/>
    <x v="2"/>
    <x v="24"/>
    <m/>
  </r>
  <r>
    <s v="Mission.Space_Seg.Spacecraft.pcdu"/>
    <m/>
    <x v="10"/>
    <m/>
    <s v="\Mission.Space_Seg.Spacecraft.pcdu\redundancy.n\\default"/>
    <s v="-"/>
    <m/>
    <m/>
    <m/>
    <s v="PWR"/>
    <m/>
    <s v="PWR"/>
    <x v="1"/>
    <n v="4"/>
    <s v="Mission (Mission)"/>
    <s v="Space_Seg (Space Segment)"/>
    <x v="2"/>
    <x v="24"/>
    <m/>
  </r>
  <r>
    <s v="Mission.Space_Seg.Spacecraft.pcdu"/>
    <m/>
    <x v="11"/>
    <m/>
    <s v="\Mission.Space_Seg.Spacecraft.pcdu\Temp_oper_max\\default"/>
    <s v="-"/>
    <m/>
    <m/>
    <s v="°C"/>
    <s v="PWR"/>
    <m/>
    <s v="PWR"/>
    <x v="1"/>
    <n v="4"/>
    <s v="Mission (Mission)"/>
    <s v="Space_Seg (Space Segment)"/>
    <x v="2"/>
    <x v="24"/>
    <m/>
  </r>
  <r>
    <s v="Mission.Space_Seg.Spacecraft.pcdu"/>
    <m/>
    <x v="12"/>
    <m/>
    <s v="\Mission.Space_Seg.Spacecraft.pcdu\Temp_oper_min\\default"/>
    <s v="-"/>
    <m/>
    <m/>
    <s v="°C"/>
    <s v="PWR"/>
    <m/>
    <s v="PWR"/>
    <x v="1"/>
    <n v="4"/>
    <s v="Mission (Mission)"/>
    <s v="Space_Seg (Space Segment)"/>
    <x v="2"/>
    <x v="24"/>
    <m/>
  </r>
  <r>
    <s v="Mission.Space_Seg.Spacecraft.pcdu"/>
    <m/>
    <x v="13"/>
    <m/>
    <s v="\Mission.Space_Seg.Spacecraft.pcdu\TRL\\default"/>
    <n v="9"/>
    <m/>
    <m/>
    <m/>
    <s v="PWR"/>
    <m/>
    <s v="PWR"/>
    <x v="1"/>
    <n v="4"/>
    <s v="Mission (Mission)"/>
    <s v="Space_Seg (Space Segment)"/>
    <x v="2"/>
    <x v="24"/>
    <m/>
  </r>
  <r>
    <s v="Mission.Space_Seg.Spacecraft.pcdu"/>
    <s v="Dimensions"/>
    <x v="14"/>
    <m/>
    <s v="\Mission.Space_Seg.Spacecraft.pcdu\wid\\default"/>
    <s v="-"/>
    <m/>
    <m/>
    <s v="m"/>
    <s v="PWR"/>
    <m/>
    <s v="PWR"/>
    <x v="1"/>
    <n v="4"/>
    <s v="Mission (Mission)"/>
    <s v="Space_Seg (Space Segment)"/>
    <x v="2"/>
    <x v="24"/>
    <m/>
  </r>
  <r>
    <s v="Mission.Space_Seg.Spacecraft.Pressnt"/>
    <m/>
    <x v="0"/>
    <m/>
    <s v="\Mission.Space_Seg.Spacecraft.Pressnt\_name_\\default"/>
    <s v="Pressurant"/>
    <m/>
    <m/>
    <m/>
    <s v="CPROP"/>
    <m/>
    <s v="CPROP"/>
    <x v="0"/>
    <n v="4"/>
    <s v="Mission (Mission)"/>
    <s v="Space_Seg (Space Segment)"/>
    <x v="2"/>
    <x v="25"/>
    <m/>
  </r>
  <r>
    <s v="Mission.Space_Seg.Spacecraft.Pressnt"/>
    <m/>
    <x v="4"/>
    <m/>
    <s v="\Mission.Space_Seg.Spacecraft.Pressnt\m\\default"/>
    <n v="0.47"/>
    <n v="20"/>
    <n v="9.4E-2"/>
    <s v="kg"/>
    <s v="CPROP"/>
    <s v="SYS"/>
    <s v="CPROP"/>
    <x v="1"/>
    <n v="4"/>
    <s v="Mission (Mission)"/>
    <s v="Space_Seg (Space Segment)"/>
    <x v="2"/>
    <x v="25"/>
    <m/>
  </r>
  <r>
    <s v="Mission.Space_Seg.Spacecraft.Pressnt"/>
    <m/>
    <x v="5"/>
    <m/>
    <s v="\Mission.Space_Seg.Spacecraft.Pressnt\P\\default"/>
    <n v="0"/>
    <m/>
    <m/>
    <s v="W"/>
    <s v="CPROP"/>
    <m/>
    <s v="CPROP"/>
    <x v="1"/>
    <n v="4"/>
    <s v="Mission (Mission)"/>
    <s v="Space_Seg (Space Segment)"/>
    <x v="2"/>
    <x v="25"/>
    <m/>
  </r>
  <r>
    <s v="Mission.Space_Seg.Spacecraft.Pressnt"/>
    <m/>
    <x v="6"/>
    <m/>
    <s v="\Mission.Space_Seg.Spacecraft.Pressnt\P_duty_cyc\\default"/>
    <n v="-1"/>
    <m/>
    <m/>
    <s v="-"/>
    <s v="CPROP"/>
    <m/>
    <s v="CPROP"/>
    <x v="1"/>
    <n v="4"/>
    <s v="Mission (Mission)"/>
    <s v="Space_Seg (Space Segment)"/>
    <x v="2"/>
    <x v="25"/>
    <m/>
  </r>
  <r>
    <s v="Mission.Space_Seg.Spacecraft.Pressnt"/>
    <m/>
    <x v="7"/>
    <m/>
    <s v="\Mission.Space_Seg.Spacecraft.Pressnt\redundancy.scheme\\default"/>
    <s v="no"/>
    <m/>
    <m/>
    <m/>
    <s v="CPROP"/>
    <m/>
    <s v="CPROP"/>
    <x v="1"/>
    <n v="4"/>
    <s v="Mission (Mission)"/>
    <s v="Space_Seg (Space Segment)"/>
    <x v="2"/>
    <x v="25"/>
    <m/>
  </r>
  <r>
    <s v="Mission.Space_Seg.Spacecraft.Pressnt"/>
    <m/>
    <x v="8"/>
    <m/>
    <s v="\Mission.Space_Seg.Spacecraft.Pressnt\redundancy.type\\default"/>
    <s v="N/A"/>
    <m/>
    <m/>
    <m/>
    <s v="CPROP"/>
    <m/>
    <s v="CPROP"/>
    <x v="1"/>
    <n v="4"/>
    <s v="Mission (Mission)"/>
    <s v="Space_Seg (Space Segment)"/>
    <x v="2"/>
    <x v="25"/>
    <m/>
  </r>
  <r>
    <s v="Mission.Space_Seg.Spacecraft.Pressnt"/>
    <m/>
    <x v="9"/>
    <m/>
    <s v="\Mission.Space_Seg.Spacecraft.Pressnt\redundancy.k\\default"/>
    <s v="N/A"/>
    <m/>
    <m/>
    <m/>
    <s v="CPROP"/>
    <m/>
    <s v="CPROP"/>
    <x v="1"/>
    <n v="4"/>
    <s v="Mission (Mission)"/>
    <s v="Space_Seg (Space Segment)"/>
    <x v="2"/>
    <x v="25"/>
    <m/>
  </r>
  <r>
    <s v="Mission.Space_Seg.Spacecraft.Pressnt"/>
    <m/>
    <x v="10"/>
    <m/>
    <s v="\Mission.Space_Seg.Spacecraft.Pressnt\redundancy.n\\default"/>
    <s v="N/A"/>
    <m/>
    <m/>
    <m/>
    <s v="CPROP"/>
    <m/>
    <s v="CPROP"/>
    <x v="1"/>
    <n v="4"/>
    <s v="Mission (Mission)"/>
    <s v="Space_Seg (Space Segment)"/>
    <x v="2"/>
    <x v="25"/>
    <m/>
  </r>
  <r>
    <s v="Mission.Space_Seg.Spacecraft.Pressnt"/>
    <m/>
    <x v="11"/>
    <m/>
    <s v="\Mission.Space_Seg.Spacecraft.Pressnt\Temp_oper_max\\default"/>
    <n v="300"/>
    <m/>
    <m/>
    <s v="°C"/>
    <s v="CPROP"/>
    <m/>
    <s v="CPROP"/>
    <x v="1"/>
    <n v="4"/>
    <s v="Mission (Mission)"/>
    <s v="Space_Seg (Space Segment)"/>
    <x v="2"/>
    <x v="25"/>
    <m/>
  </r>
  <r>
    <s v="Mission.Space_Seg.Spacecraft.Pressnt"/>
    <m/>
    <x v="12"/>
    <m/>
    <s v="\Mission.Space_Seg.Spacecraft.Pressnt\Temp_oper_min\\default"/>
    <n v="-100"/>
    <m/>
    <m/>
    <s v="°C"/>
    <s v="CPROP"/>
    <m/>
    <s v="CPROP"/>
    <x v="1"/>
    <n v="4"/>
    <s v="Mission (Mission)"/>
    <s v="Space_Seg (Space Segment)"/>
    <x v="2"/>
    <x v="25"/>
    <m/>
  </r>
  <r>
    <s v="Mission.Space_Seg.Spacecraft.Pressnt"/>
    <m/>
    <x v="13"/>
    <m/>
    <s v="\Mission.Space_Seg.Spacecraft.Pressnt\TRL\\default"/>
    <n v="9"/>
    <m/>
    <m/>
    <m/>
    <s v="CPROP"/>
    <m/>
    <s v="CPROP"/>
    <x v="1"/>
    <n v="4"/>
    <s v="Mission (Mission)"/>
    <s v="Space_Seg (Space Segment)"/>
    <x v="2"/>
    <x v="25"/>
    <m/>
  </r>
  <r>
    <s v="Mission.Space_Seg.Spacecraft.Pressnt"/>
    <m/>
    <x v="21"/>
    <m/>
    <s v="\Mission.Space_Seg.Spacecraft.Pressnt\Vol\\default"/>
    <n v="2.5999999999999999E-2"/>
    <m/>
    <m/>
    <s v="m³"/>
    <s v="CPROP"/>
    <m/>
    <s v="CPROP"/>
    <x v="1"/>
    <n v="4"/>
    <s v="Mission (Mission)"/>
    <s v="Space_Seg (Space Segment)"/>
    <x v="2"/>
    <x v="25"/>
    <m/>
  </r>
  <r>
    <s v="Mission.Space_Seg.Spacecraft.PressTank"/>
    <m/>
    <x v="0"/>
    <m/>
    <s v="\Mission.Space_Seg.Spacecraft.PressTank\_name_\\default"/>
    <s v="Pressure_Tanks"/>
    <m/>
    <m/>
    <m/>
    <s v="CPROP"/>
    <m/>
    <s v="CPROP"/>
    <x v="0"/>
    <n v="4"/>
    <s v="Mission (Mission)"/>
    <s v="Space_Seg (Space Segment)"/>
    <x v="2"/>
    <x v="26"/>
    <m/>
  </r>
  <r>
    <s v="Mission.Space_Seg.Spacecraft.PressTank"/>
    <s v="Dimensions"/>
    <x v="1"/>
    <m/>
    <s v="\Mission.Space_Seg.Spacecraft.PressTank\diam\\default"/>
    <n v="0.4"/>
    <m/>
    <m/>
    <s v="m"/>
    <s v="CPROP"/>
    <m/>
    <s v="CPROP"/>
    <x v="1"/>
    <n v="4"/>
    <s v="Mission (Mission)"/>
    <s v="Space_Seg (Space Segment)"/>
    <x v="2"/>
    <x v="26"/>
    <m/>
  </r>
  <r>
    <s v="Mission.Space_Seg.Spacecraft.PressTank"/>
    <m/>
    <x v="4"/>
    <m/>
    <s v="\Mission.Space_Seg.Spacecraft.PressTank\m\\default"/>
    <n v="10.6"/>
    <n v="20"/>
    <n v="2.12"/>
    <s v="kg"/>
    <s v="CPROP"/>
    <m/>
    <s v="CPROP"/>
    <x v="1"/>
    <n v="4"/>
    <s v="Mission (Mission)"/>
    <s v="Space_Seg (Space Segment)"/>
    <x v="2"/>
    <x v="26"/>
    <m/>
  </r>
  <r>
    <s v="Mission.Space_Seg.Spacecraft.PressTank"/>
    <m/>
    <x v="25"/>
    <m/>
    <s v="\Mission.Space_Seg.Spacecraft.PressTank\n_items\\default"/>
    <n v="1"/>
    <m/>
    <m/>
    <s v="-"/>
    <s v="CPROP"/>
    <m/>
    <s v="CPROP"/>
    <x v="1"/>
    <n v="4"/>
    <s v="Mission (Mission)"/>
    <s v="Space_Seg (Space Segment)"/>
    <x v="2"/>
    <x v="26"/>
    <m/>
  </r>
  <r>
    <s v="Mission.Space_Seg.Spacecraft.PressTank"/>
    <m/>
    <x v="5"/>
    <m/>
    <s v="\Mission.Space_Seg.Spacecraft.PressTank\p\\default"/>
    <n v="25000000"/>
    <m/>
    <m/>
    <s v="Pa"/>
    <s v="CPROP"/>
    <m/>
    <s v="CPROP"/>
    <x v="1"/>
    <n v="4"/>
    <s v="Mission (Mission)"/>
    <s v="Space_Seg (Space Segment)"/>
    <x v="2"/>
    <x v="26"/>
    <m/>
  </r>
  <r>
    <s v="Mission.Space_Seg.Spacecraft.PressTank"/>
    <m/>
    <x v="5"/>
    <m/>
    <s v="\Mission.Space_Seg.Spacecraft.PressTank\P\\default"/>
    <n v="0"/>
    <m/>
    <m/>
    <s v="W"/>
    <s v="CPROP"/>
    <m/>
    <s v="CPROP"/>
    <x v="1"/>
    <n v="4"/>
    <s v="Mission (Mission)"/>
    <s v="Space_Seg (Space Segment)"/>
    <x v="2"/>
    <x v="26"/>
    <m/>
  </r>
  <r>
    <s v="Mission.Space_Seg.Spacecraft.PressTank"/>
    <m/>
    <x v="6"/>
    <m/>
    <s v="\Mission.Space_Seg.Spacecraft.PressTank\P_duty_cyc\\default"/>
    <n v="-1"/>
    <m/>
    <m/>
    <s v="-"/>
    <s v="CPROP"/>
    <m/>
    <s v="CPROP"/>
    <x v="1"/>
    <n v="4"/>
    <s v="Mission (Mission)"/>
    <s v="Space_Seg (Space Segment)"/>
    <x v="2"/>
    <x v="26"/>
    <m/>
  </r>
  <r>
    <s v="Mission.Space_Seg.Spacecraft.PressTank"/>
    <m/>
    <x v="7"/>
    <m/>
    <s v="\Mission.Space_Seg.Spacecraft.PressTank\redundancy.scheme\\default"/>
    <s v="no"/>
    <m/>
    <m/>
    <m/>
    <s v="CPROP"/>
    <m/>
    <s v="CPROP"/>
    <x v="1"/>
    <n v="4"/>
    <s v="Mission (Mission)"/>
    <s v="Space_Seg (Space Segment)"/>
    <x v="2"/>
    <x v="26"/>
    <m/>
  </r>
  <r>
    <s v="Mission.Space_Seg.Spacecraft.PressTank"/>
    <m/>
    <x v="8"/>
    <m/>
    <s v="\Mission.Space_Seg.Spacecraft.PressTank\redundancy.type\\default"/>
    <s v="N/A"/>
    <m/>
    <m/>
    <m/>
    <s v="CPROP"/>
    <m/>
    <s v="CPROP"/>
    <x v="1"/>
    <n v="4"/>
    <s v="Mission (Mission)"/>
    <s v="Space_Seg (Space Segment)"/>
    <x v="2"/>
    <x v="26"/>
    <m/>
  </r>
  <r>
    <s v="Mission.Space_Seg.Spacecraft.PressTank"/>
    <m/>
    <x v="9"/>
    <m/>
    <s v="\Mission.Space_Seg.Spacecraft.PressTank\redundancy.k\\default"/>
    <s v="N/A"/>
    <m/>
    <m/>
    <m/>
    <s v="CPROP"/>
    <m/>
    <s v="CPROP"/>
    <x v="1"/>
    <n v="4"/>
    <s v="Mission (Mission)"/>
    <s v="Space_Seg (Space Segment)"/>
    <x v="2"/>
    <x v="26"/>
    <m/>
  </r>
  <r>
    <s v="Mission.Space_Seg.Spacecraft.PressTank"/>
    <m/>
    <x v="10"/>
    <m/>
    <s v="\Mission.Space_Seg.Spacecraft.PressTank\redundancy.n\\default"/>
    <s v="N/A"/>
    <m/>
    <m/>
    <m/>
    <s v="CPROP"/>
    <m/>
    <s v="CPROP"/>
    <x v="1"/>
    <n v="4"/>
    <s v="Mission (Mission)"/>
    <s v="Space_Seg (Space Segment)"/>
    <x v="2"/>
    <x v="26"/>
    <m/>
  </r>
  <r>
    <s v="Mission.Space_Seg.Spacecraft.PressTank"/>
    <m/>
    <x v="11"/>
    <m/>
    <s v="\Mission.Space_Seg.Spacecraft.PressTank\Temp_oper_max\\default"/>
    <n v="300"/>
    <m/>
    <m/>
    <s v="°C"/>
    <s v="CPROP"/>
    <m/>
    <s v="CPROP"/>
    <x v="1"/>
    <n v="4"/>
    <s v="Mission (Mission)"/>
    <s v="Space_Seg (Space Segment)"/>
    <x v="2"/>
    <x v="26"/>
    <m/>
  </r>
  <r>
    <s v="Mission.Space_Seg.Spacecraft.PressTank"/>
    <m/>
    <x v="12"/>
    <m/>
    <s v="\Mission.Space_Seg.Spacecraft.PressTank\Temp_oper_min\\default"/>
    <n v="-100"/>
    <m/>
    <m/>
    <s v="°C"/>
    <s v="CPROP"/>
    <m/>
    <s v="CPROP"/>
    <x v="1"/>
    <n v="4"/>
    <s v="Mission (Mission)"/>
    <s v="Space_Seg (Space Segment)"/>
    <x v="2"/>
    <x v="26"/>
    <m/>
  </r>
  <r>
    <s v="Mission.Space_Seg.Spacecraft.PressTank"/>
    <m/>
    <x v="13"/>
    <m/>
    <s v="\Mission.Space_Seg.Spacecraft.PressTank\TRL\\default"/>
    <n v="9"/>
    <m/>
    <m/>
    <m/>
    <s v="CPROP"/>
    <m/>
    <s v="CPROP"/>
    <x v="1"/>
    <n v="4"/>
    <s v="Mission (Mission)"/>
    <s v="Space_Seg (Space Segment)"/>
    <x v="2"/>
    <x v="26"/>
    <m/>
  </r>
  <r>
    <s v="Mission.Space_Seg.Spacecraft.PressTank.Prop"/>
    <m/>
    <x v="0"/>
    <m/>
    <s v="\Mission.Space_Seg.Spacecraft.PressTank.Prop\_name_\\default"/>
    <s v="Propellant"/>
    <m/>
    <m/>
    <m/>
    <s v="TC"/>
    <m/>
    <s v="TC"/>
    <x v="0"/>
    <n v="5"/>
    <s v="Mission (Mission)"/>
    <s v="Space_Seg (Space Segment)"/>
    <x v="2"/>
    <x v="26"/>
    <s v="Prop (Propellant)"/>
  </r>
  <r>
    <s v="Mission.Space_Seg.Spacecraft.PressTank.Prop"/>
    <m/>
    <x v="4"/>
    <m/>
    <s v="\Mission.Space_Seg.Spacecraft.PressTank.Prop\m\\default"/>
    <n v="175.17995263503801"/>
    <n v="3"/>
    <n v="5.2553985790511399"/>
    <s v="kg"/>
    <s v="CPROP"/>
    <s v="SYS"/>
    <s v="CPROP"/>
    <x v="2"/>
    <n v="5"/>
    <s v="Mission (Mission)"/>
    <s v="Space_Seg (Space Segment)"/>
    <x v="2"/>
    <x v="26"/>
    <s v="Prop (Propellant)"/>
  </r>
  <r>
    <s v="Mission.Space_Seg.Spacecraft.PressTank.Prop"/>
    <m/>
    <x v="5"/>
    <m/>
    <s v="\Mission.Space_Seg.Spacecraft.PressTank.Prop\P\\default"/>
    <n v="0"/>
    <m/>
    <m/>
    <s v="W"/>
    <s v="CPROP"/>
    <m/>
    <s v="CPROP"/>
    <x v="2"/>
    <n v="5"/>
    <s v="Mission (Mission)"/>
    <s v="Space_Seg (Space Segment)"/>
    <x v="2"/>
    <x v="26"/>
    <s v="Prop (Propellant)"/>
  </r>
  <r>
    <s v="Mission.Space_Seg.Spacecraft.PressTank.Prop"/>
    <m/>
    <x v="6"/>
    <m/>
    <s v="\Mission.Space_Seg.Spacecraft.PressTank.Prop\P_duty_cyc\\default"/>
    <n v="-1"/>
    <m/>
    <m/>
    <s v="-"/>
    <s v="CPROP"/>
    <m/>
    <s v="CPROP"/>
    <x v="2"/>
    <n v="5"/>
    <s v="Mission (Mission)"/>
    <s v="Space_Seg (Space Segment)"/>
    <x v="2"/>
    <x v="26"/>
    <s v="Prop (Propellant)"/>
  </r>
  <r>
    <s v="Mission.Space_Seg.Spacecraft.PressTank.Prop"/>
    <m/>
    <x v="26"/>
    <m/>
    <s v="\Mission.Space_Seg.Spacecraft.PressTank.Prop\prop_type\\default"/>
    <s v="NTO/MMH"/>
    <m/>
    <m/>
    <m/>
    <s v="CPROP"/>
    <m/>
    <s v="CPROP"/>
    <x v="2"/>
    <n v="5"/>
    <s v="Mission (Mission)"/>
    <s v="Space_Seg (Space Segment)"/>
    <x v="2"/>
    <x v="26"/>
    <s v="Prop (Propellant)"/>
  </r>
  <r>
    <s v="Mission.Space_Seg.Spacecraft.PressTank.Prop"/>
    <m/>
    <x v="7"/>
    <m/>
    <s v="\Mission.Space_Seg.Spacecraft.PressTank.Prop\redundancy.scheme\\default"/>
    <s v="no"/>
    <m/>
    <m/>
    <m/>
    <s v="CPROP"/>
    <m/>
    <s v="CPROP"/>
    <x v="2"/>
    <n v="5"/>
    <s v="Mission (Mission)"/>
    <s v="Space_Seg (Space Segment)"/>
    <x v="2"/>
    <x v="26"/>
    <s v="Prop (Propellant)"/>
  </r>
  <r>
    <s v="Mission.Space_Seg.Spacecraft.PressTank.Prop"/>
    <m/>
    <x v="8"/>
    <m/>
    <s v="\Mission.Space_Seg.Spacecraft.PressTank.Prop\redundancy.type\\default"/>
    <s v="N/A"/>
    <m/>
    <m/>
    <m/>
    <s v="CPROP"/>
    <m/>
    <s v="CPROP"/>
    <x v="2"/>
    <n v="5"/>
    <s v="Mission (Mission)"/>
    <s v="Space_Seg (Space Segment)"/>
    <x v="2"/>
    <x v="26"/>
    <s v="Prop (Propellant)"/>
  </r>
  <r>
    <s v="Mission.Space_Seg.Spacecraft.PressTank.Prop"/>
    <m/>
    <x v="9"/>
    <m/>
    <s v="\Mission.Space_Seg.Spacecraft.PressTank.Prop\redundancy.k\\default"/>
    <s v="N/A"/>
    <m/>
    <m/>
    <m/>
    <s v="CPROP"/>
    <m/>
    <s v="CPROP"/>
    <x v="2"/>
    <n v="5"/>
    <s v="Mission (Mission)"/>
    <s v="Space_Seg (Space Segment)"/>
    <x v="2"/>
    <x v="26"/>
    <s v="Prop (Propellant)"/>
  </r>
  <r>
    <s v="Mission.Space_Seg.Spacecraft.PressTank.Prop"/>
    <m/>
    <x v="10"/>
    <m/>
    <s v="\Mission.Space_Seg.Spacecraft.PressTank.Prop\redundancy.n\\default"/>
    <s v="N/A"/>
    <m/>
    <m/>
    <m/>
    <s v="CPROP"/>
    <m/>
    <s v="CPROP"/>
    <x v="2"/>
    <n v="5"/>
    <s v="Mission (Mission)"/>
    <s v="Space_Seg (Space Segment)"/>
    <x v="2"/>
    <x v="26"/>
    <s v="Prop (Propellant)"/>
  </r>
  <r>
    <s v="Mission.Space_Seg.Spacecraft.PressTank.Prop"/>
    <m/>
    <x v="11"/>
    <m/>
    <s v="\Mission.Space_Seg.Spacecraft.PressTank.Prop\Temp_oper_max\\default"/>
    <n v="1500"/>
    <m/>
    <m/>
    <s v="°C"/>
    <s v="CPROP"/>
    <m/>
    <s v="CPROP"/>
    <x v="2"/>
    <n v="5"/>
    <s v="Mission (Mission)"/>
    <s v="Space_Seg (Space Segment)"/>
    <x v="2"/>
    <x v="26"/>
    <s v="Prop (Propellant)"/>
  </r>
  <r>
    <s v="Mission.Space_Seg.Spacecraft.PressTank.Prop"/>
    <m/>
    <x v="12"/>
    <m/>
    <s v="\Mission.Space_Seg.Spacecraft.PressTank.Prop\Temp_oper_min\\default"/>
    <n v="90"/>
    <m/>
    <m/>
    <s v="°C"/>
    <s v="CPROP"/>
    <m/>
    <s v="CPROP"/>
    <x v="2"/>
    <n v="5"/>
    <s v="Mission (Mission)"/>
    <s v="Space_Seg (Space Segment)"/>
    <x v="2"/>
    <x v="26"/>
    <s v="Prop (Propellant)"/>
  </r>
  <r>
    <s v="Mission.Space_Seg.Spacecraft.PressTank.Prop"/>
    <m/>
    <x v="13"/>
    <m/>
    <s v="\Mission.Space_Seg.Spacecraft.PressTank.Prop\TRL\\default"/>
    <n v="9"/>
    <m/>
    <m/>
    <m/>
    <s v="CPROP"/>
    <m/>
    <s v="CPROP"/>
    <x v="2"/>
    <n v="5"/>
    <s v="Mission (Mission)"/>
    <s v="Space_Seg (Space Segment)"/>
    <x v="2"/>
    <x v="26"/>
    <s v="Prop (Propellant)"/>
  </r>
  <r>
    <s v="Mission.Space_Seg.Spacecraft.PressTank.Prop"/>
    <m/>
    <x v="21"/>
    <m/>
    <s v="\Mission.Space_Seg.Spacecraft.PressTank.Prop\Vol\\default"/>
    <n v="0.15085457212294701"/>
    <m/>
    <m/>
    <s v="m³"/>
    <s v="CPROP"/>
    <m/>
    <s v="CPROP"/>
    <x v="2"/>
    <n v="5"/>
    <s v="Mission (Mission)"/>
    <s v="Space_Seg (Space Segment)"/>
    <x v="2"/>
    <x v="26"/>
    <s v="Prop (Propellant)"/>
  </r>
  <r>
    <s v="Mission.Space_Seg.Spacecraft.Prop"/>
    <m/>
    <x v="0"/>
    <m/>
    <s v="\Mission.Space_Seg.Spacecraft.Prop\_name_\\default"/>
    <s v="Propellant"/>
    <m/>
    <m/>
    <m/>
    <s v="CPROP"/>
    <m/>
    <s v="CPROP"/>
    <x v="0"/>
    <n v="4"/>
    <s v="Mission (Mission)"/>
    <s v="Space_Seg (Space Segment)"/>
    <x v="2"/>
    <x v="27"/>
    <m/>
  </r>
  <r>
    <s v="Mission.Space_Seg.Spacecraft.Prop"/>
    <m/>
    <x v="4"/>
    <m/>
    <s v="\Mission.Space_Seg.Spacecraft.Prop\m\\default"/>
    <n v="175.17995263503801"/>
    <n v="3"/>
    <n v="5.2553985790511399"/>
    <s v="kg"/>
    <s v="CPROP"/>
    <s v="SYS"/>
    <s v="CPROP"/>
    <x v="2"/>
    <n v="4"/>
    <s v="Mission (Mission)"/>
    <s v="Space_Seg (Space Segment)"/>
    <x v="2"/>
    <x v="27"/>
    <m/>
  </r>
  <r>
    <s v="Mission.Space_Seg.Spacecraft.Prop"/>
    <m/>
    <x v="5"/>
    <m/>
    <s v="\Mission.Space_Seg.Spacecraft.Prop\P\\default"/>
    <n v="0"/>
    <m/>
    <m/>
    <s v="W"/>
    <s v="CPROP"/>
    <m/>
    <s v="CPROP"/>
    <x v="2"/>
    <n v="4"/>
    <s v="Mission (Mission)"/>
    <s v="Space_Seg (Space Segment)"/>
    <x v="2"/>
    <x v="27"/>
    <m/>
  </r>
  <r>
    <s v="Mission.Space_Seg.Spacecraft.Prop"/>
    <m/>
    <x v="6"/>
    <m/>
    <s v="\Mission.Space_Seg.Spacecraft.Prop\P_duty_cyc\\default"/>
    <n v="-1"/>
    <m/>
    <m/>
    <s v="-"/>
    <s v="CPROP"/>
    <m/>
    <s v="CPROP"/>
    <x v="2"/>
    <n v="4"/>
    <s v="Mission (Mission)"/>
    <s v="Space_Seg (Space Segment)"/>
    <x v="2"/>
    <x v="27"/>
    <m/>
  </r>
  <r>
    <s v="Mission.Space_Seg.Spacecraft.Prop"/>
    <m/>
    <x v="26"/>
    <m/>
    <s v="\Mission.Space_Seg.Spacecraft.Prop\prop_type\\default"/>
    <s v="NTO/MMH"/>
    <m/>
    <m/>
    <m/>
    <s v="CPROP"/>
    <m/>
    <s v="CPROP"/>
    <x v="2"/>
    <n v="4"/>
    <s v="Mission (Mission)"/>
    <s v="Space_Seg (Space Segment)"/>
    <x v="2"/>
    <x v="27"/>
    <m/>
  </r>
  <r>
    <s v="Mission.Space_Seg.Spacecraft.Prop"/>
    <m/>
    <x v="7"/>
    <m/>
    <s v="\Mission.Space_Seg.Spacecraft.Prop\redundancy.scheme\\default"/>
    <s v="no"/>
    <m/>
    <m/>
    <m/>
    <s v="CPROP"/>
    <m/>
    <s v="CPROP"/>
    <x v="2"/>
    <n v="4"/>
    <s v="Mission (Mission)"/>
    <s v="Space_Seg (Space Segment)"/>
    <x v="2"/>
    <x v="27"/>
    <m/>
  </r>
  <r>
    <s v="Mission.Space_Seg.Spacecraft.Prop"/>
    <m/>
    <x v="8"/>
    <m/>
    <s v="\Mission.Space_Seg.Spacecraft.Prop\redundancy.type\\default"/>
    <s v="N/A"/>
    <m/>
    <m/>
    <m/>
    <s v="CPROP"/>
    <m/>
    <s v="CPROP"/>
    <x v="2"/>
    <n v="4"/>
    <s v="Mission (Mission)"/>
    <s v="Space_Seg (Space Segment)"/>
    <x v="2"/>
    <x v="27"/>
    <m/>
  </r>
  <r>
    <s v="Mission.Space_Seg.Spacecraft.Prop"/>
    <m/>
    <x v="9"/>
    <m/>
    <s v="\Mission.Space_Seg.Spacecraft.Prop\redundancy.k\\default"/>
    <s v="N/A"/>
    <m/>
    <m/>
    <m/>
    <s v="CPROP"/>
    <m/>
    <s v="CPROP"/>
    <x v="2"/>
    <n v="4"/>
    <s v="Mission (Mission)"/>
    <s v="Space_Seg (Space Segment)"/>
    <x v="2"/>
    <x v="27"/>
    <m/>
  </r>
  <r>
    <s v="Mission.Space_Seg.Spacecraft.Prop"/>
    <m/>
    <x v="10"/>
    <m/>
    <s v="\Mission.Space_Seg.Spacecraft.Prop\redundancy.n\\default"/>
    <s v="N/A"/>
    <m/>
    <m/>
    <m/>
    <s v="CPROP"/>
    <m/>
    <s v="CPROP"/>
    <x v="2"/>
    <n v="4"/>
    <s v="Mission (Mission)"/>
    <s v="Space_Seg (Space Segment)"/>
    <x v="2"/>
    <x v="27"/>
    <m/>
  </r>
  <r>
    <s v="Mission.Space_Seg.Spacecraft.Prop"/>
    <m/>
    <x v="11"/>
    <m/>
    <s v="\Mission.Space_Seg.Spacecraft.Prop\Temp_oper_max\\default"/>
    <n v="1500"/>
    <m/>
    <m/>
    <s v="°C"/>
    <s v="CPROP"/>
    <m/>
    <s v="CPROP"/>
    <x v="2"/>
    <n v="4"/>
    <s v="Mission (Mission)"/>
    <s v="Space_Seg (Space Segment)"/>
    <x v="2"/>
    <x v="27"/>
    <m/>
  </r>
  <r>
    <s v="Mission.Space_Seg.Spacecraft.Prop"/>
    <m/>
    <x v="12"/>
    <m/>
    <s v="\Mission.Space_Seg.Spacecraft.Prop\Temp_oper_min\\default"/>
    <n v="90"/>
    <m/>
    <m/>
    <s v="°C"/>
    <s v="CPROP"/>
    <m/>
    <s v="CPROP"/>
    <x v="2"/>
    <n v="4"/>
    <s v="Mission (Mission)"/>
    <s v="Space_Seg (Space Segment)"/>
    <x v="2"/>
    <x v="27"/>
    <m/>
  </r>
  <r>
    <s v="Mission.Space_Seg.Spacecraft.Prop"/>
    <m/>
    <x v="13"/>
    <m/>
    <s v="\Mission.Space_Seg.Spacecraft.Prop\TRL\\default"/>
    <n v="9"/>
    <m/>
    <m/>
    <m/>
    <s v="CPROP"/>
    <m/>
    <s v="CPROP"/>
    <x v="2"/>
    <n v="4"/>
    <s v="Mission (Mission)"/>
    <s v="Space_Seg (Space Segment)"/>
    <x v="2"/>
    <x v="27"/>
    <m/>
  </r>
  <r>
    <s v="Mission.Space_Seg.Spacecraft.Prop"/>
    <m/>
    <x v="21"/>
    <m/>
    <s v="\Mission.Space_Seg.Spacecraft.Prop\Vol\\default"/>
    <n v="0.15085457212294701"/>
    <m/>
    <m/>
    <s v="m³"/>
    <s v="CPROP"/>
    <m/>
    <s v="CPROP"/>
    <x v="2"/>
    <n v="4"/>
    <s v="Mission (Mission)"/>
    <s v="Space_Seg (Space Segment)"/>
    <x v="2"/>
    <x v="27"/>
    <m/>
  </r>
  <r>
    <s v="Mission.Space_Seg.Spacecraft.PropPiping"/>
    <m/>
    <x v="0"/>
    <m/>
    <s v="\Mission.Space_Seg.Spacecraft.PropPiping\_name_\\default"/>
    <s v="Propulsion_Piping"/>
    <m/>
    <m/>
    <m/>
    <s v="CPROP"/>
    <m/>
    <s v="CPROP"/>
    <x v="0"/>
    <n v="4"/>
    <s v="Mission (Mission)"/>
    <s v="Space_Seg (Space Segment)"/>
    <x v="2"/>
    <x v="28"/>
    <m/>
  </r>
  <r>
    <s v="Mission.Space_Seg.Spacecraft.PropPiping"/>
    <m/>
    <x v="4"/>
    <m/>
    <s v="\Mission.Space_Seg.Spacecraft.PropPiping\m\\default"/>
    <n v="4.8172716637666397"/>
    <n v="20"/>
    <n v="0.96345433275332792"/>
    <s v="kg"/>
    <s v="CPROP"/>
    <m/>
    <s v="CPROP"/>
    <x v="1"/>
    <n v="4"/>
    <s v="Mission (Mission)"/>
    <s v="Space_Seg (Space Segment)"/>
    <x v="2"/>
    <x v="28"/>
    <m/>
  </r>
  <r>
    <s v="Mission.Space_Seg.Spacecraft.PropPiping"/>
    <m/>
    <x v="5"/>
    <m/>
    <s v="\Mission.Space_Seg.Spacecraft.PropPiping\P\\default"/>
    <n v="20"/>
    <m/>
    <m/>
    <s v="W"/>
    <s v="CPROP"/>
    <m/>
    <s v="CPROP"/>
    <x v="1"/>
    <n v="4"/>
    <s v="Mission (Mission)"/>
    <s v="Space_Seg (Space Segment)"/>
    <x v="2"/>
    <x v="28"/>
    <m/>
  </r>
  <r>
    <s v="Mission.Space_Seg.Spacecraft.PropPiping"/>
    <m/>
    <x v="6"/>
    <s v="LAU"/>
    <s v="\Mission.Space_Seg.Spacecraft.PropPiping\P_duty_cyc\LAU\default"/>
    <n v="-1"/>
    <m/>
    <m/>
    <s v="-"/>
    <s v="CPROP"/>
    <m/>
    <s v="CPROP"/>
    <x v="1"/>
    <n v="4"/>
    <s v="Mission (Mission)"/>
    <s v="Space_Seg (Space Segment)"/>
    <x v="2"/>
    <x v="28"/>
    <m/>
  </r>
  <r>
    <s v="Mission.Space_Seg.Spacecraft.PropPiping"/>
    <m/>
    <x v="6"/>
    <s v="SAF"/>
    <s v="\Mission.Space_Seg.Spacecraft.PropPiping\P_duty_cyc\SAF\default"/>
    <n v="-1"/>
    <m/>
    <m/>
    <s v="-"/>
    <s v="CPROP"/>
    <m/>
    <s v="CPROP"/>
    <x v="1"/>
    <n v="4"/>
    <s v="Mission (Mission)"/>
    <s v="Space_Seg (Space Segment)"/>
    <x v="2"/>
    <x v="28"/>
    <m/>
  </r>
  <r>
    <s v="Mission.Space_Seg.Spacecraft.PropPiping"/>
    <m/>
    <x v="6"/>
    <s v="OBS"/>
    <s v="\Mission.Space_Seg.Spacecraft.PropPiping\P_duty_cyc\OBS\default"/>
    <n v="1"/>
    <m/>
    <m/>
    <s v="-"/>
    <s v="CPROP"/>
    <m/>
    <s v="CPROP"/>
    <x v="1"/>
    <n v="4"/>
    <s v="Mission (Mission)"/>
    <s v="Space_Seg (Space Segment)"/>
    <x v="2"/>
    <x v="28"/>
    <m/>
  </r>
  <r>
    <s v="Mission.Space_Seg.Spacecraft.PropPiping"/>
    <m/>
    <x v="6"/>
    <s v="COM"/>
    <s v="\Mission.Space_Seg.Spacecraft.PropPiping\P_duty_cyc\COM\default"/>
    <n v="1"/>
    <m/>
    <m/>
    <s v="-"/>
    <s v="CPROP"/>
    <m/>
    <s v="CPROP"/>
    <x v="1"/>
    <n v="4"/>
    <s v="Mission (Mission)"/>
    <s v="Space_Seg (Space Segment)"/>
    <x v="2"/>
    <x v="28"/>
    <m/>
  </r>
  <r>
    <s v="Mission.Space_Seg.Spacecraft.PropPiping"/>
    <m/>
    <x v="6"/>
    <s v="INJ"/>
    <s v="\Mission.Space_Seg.Spacecraft.PropPiping\P_duty_cyc\INJ\default"/>
    <n v="1"/>
    <m/>
    <m/>
    <s v="-"/>
    <s v="CPROP"/>
    <m/>
    <s v="CPROP"/>
    <x v="1"/>
    <n v="4"/>
    <s v="Mission (Mission)"/>
    <s v="Space_Seg (Space Segment)"/>
    <x v="2"/>
    <x v="28"/>
    <m/>
  </r>
  <r>
    <s v="Mission.Space_Seg.Spacecraft.PropPiping"/>
    <m/>
    <x v="6"/>
    <s v="CRU"/>
    <s v="\Mission.Space_Seg.Spacecraft.PropPiping\P_duty_cyc\CRU\default"/>
    <n v="1"/>
    <m/>
    <m/>
    <s v="-"/>
    <s v="CPROP"/>
    <m/>
    <s v="CPROP"/>
    <x v="1"/>
    <n v="4"/>
    <s v="Mission (Mission)"/>
    <s v="Space_Seg (Space Segment)"/>
    <x v="2"/>
    <x v="28"/>
    <m/>
  </r>
  <r>
    <s v="Mission.Space_Seg.Spacecraft.PropPiping"/>
    <m/>
    <x v="6"/>
    <s v="DEO"/>
    <s v="\Mission.Space_Seg.Spacecraft.PropPiping\P_duty_cyc\DEO\default"/>
    <n v="1"/>
    <m/>
    <m/>
    <s v="-"/>
    <s v="CPROP"/>
    <m/>
    <s v="CPROP"/>
    <x v="1"/>
    <n v="4"/>
    <s v="Mission (Mission)"/>
    <s v="Space_Seg (Space Segment)"/>
    <x v="2"/>
    <x v="28"/>
    <m/>
  </r>
  <r>
    <s v="Mission.Space_Seg.Spacecraft.PropPiping"/>
    <m/>
    <x v="7"/>
    <m/>
    <s v="\Mission.Space_Seg.Spacecraft.PropPiping\redundancy.scheme\\default"/>
    <s v="no"/>
    <m/>
    <m/>
    <m/>
    <s v="CPROP"/>
    <m/>
    <s v="CPROP"/>
    <x v="1"/>
    <n v="4"/>
    <s v="Mission (Mission)"/>
    <s v="Space_Seg (Space Segment)"/>
    <x v="2"/>
    <x v="28"/>
    <m/>
  </r>
  <r>
    <s v="Mission.Space_Seg.Spacecraft.PropPiping"/>
    <m/>
    <x v="8"/>
    <m/>
    <s v="\Mission.Space_Seg.Spacecraft.PropPiping\redundancy.type\\default"/>
    <s v="N/A"/>
    <m/>
    <m/>
    <m/>
    <s v="CPROP"/>
    <m/>
    <s v="CPROP"/>
    <x v="1"/>
    <n v="4"/>
    <s v="Mission (Mission)"/>
    <s v="Space_Seg (Space Segment)"/>
    <x v="2"/>
    <x v="28"/>
    <m/>
  </r>
  <r>
    <s v="Mission.Space_Seg.Spacecraft.PropPiping"/>
    <m/>
    <x v="9"/>
    <m/>
    <s v="\Mission.Space_Seg.Spacecraft.PropPiping\redundancy.k\\default"/>
    <s v="N/A"/>
    <m/>
    <m/>
    <m/>
    <s v="CPROP"/>
    <m/>
    <s v="CPROP"/>
    <x v="1"/>
    <n v="4"/>
    <s v="Mission (Mission)"/>
    <s v="Space_Seg (Space Segment)"/>
    <x v="2"/>
    <x v="28"/>
    <m/>
  </r>
  <r>
    <s v="Mission.Space_Seg.Spacecraft.PropPiping"/>
    <m/>
    <x v="10"/>
    <m/>
    <s v="\Mission.Space_Seg.Spacecraft.PropPiping\redundancy.n\\default"/>
    <s v="N/A"/>
    <m/>
    <m/>
    <m/>
    <s v="CPROP"/>
    <m/>
    <s v="CPROP"/>
    <x v="1"/>
    <n v="4"/>
    <s v="Mission (Mission)"/>
    <s v="Space_Seg (Space Segment)"/>
    <x v="2"/>
    <x v="28"/>
    <m/>
  </r>
  <r>
    <s v="Mission.Space_Seg.Spacecraft.PropPiping"/>
    <m/>
    <x v="11"/>
    <m/>
    <s v="\Mission.Space_Seg.Spacecraft.PropPiping\Temp_oper_max\\default"/>
    <n v="80"/>
    <m/>
    <m/>
    <s v="°C"/>
    <s v="CPROP"/>
    <m/>
    <s v="CPROP"/>
    <x v="1"/>
    <n v="4"/>
    <s v="Mission (Mission)"/>
    <s v="Space_Seg (Space Segment)"/>
    <x v="2"/>
    <x v="28"/>
    <m/>
  </r>
  <r>
    <s v="Mission.Space_Seg.Spacecraft.PropPiping"/>
    <m/>
    <x v="12"/>
    <m/>
    <s v="\Mission.Space_Seg.Spacecraft.PropPiping\Temp_oper_min\\default"/>
    <n v="-30"/>
    <m/>
    <m/>
    <s v="°C"/>
    <s v="CPROP"/>
    <m/>
    <s v="CPROP"/>
    <x v="1"/>
    <n v="4"/>
    <s v="Mission (Mission)"/>
    <s v="Space_Seg (Space Segment)"/>
    <x v="2"/>
    <x v="28"/>
    <m/>
  </r>
  <r>
    <s v="Mission.Space_Seg.Spacecraft.PropPiping"/>
    <m/>
    <x v="13"/>
    <m/>
    <s v="\Mission.Space_Seg.Spacecraft.PropPiping\TRL\\default"/>
    <n v="9"/>
    <m/>
    <m/>
    <m/>
    <s v="CPROP"/>
    <m/>
    <s v="CPROP"/>
    <x v="1"/>
    <n v="4"/>
    <s v="Mission (Mission)"/>
    <s v="Space_Seg (Space Segment)"/>
    <x v="2"/>
    <x v="28"/>
    <m/>
  </r>
  <r>
    <s v="Mission.Space_Seg.Spacecraft.PROPS"/>
    <m/>
    <x v="0"/>
    <m/>
    <s v="\Mission.Space_Seg.Spacecraft.PROPS\_name_\\default"/>
    <s v="Propulsion Subsystem"/>
    <m/>
    <m/>
    <m/>
    <s v="CPROP"/>
    <m/>
    <s v="CPROP"/>
    <x v="0"/>
    <n v="4"/>
    <s v="Mission (Mission)"/>
    <s v="Space_Seg (Space Segment)"/>
    <x v="2"/>
    <x v="29"/>
    <m/>
  </r>
  <r>
    <s v="Mission.Space_Seg.Spacecraft.PROPS"/>
    <m/>
    <x v="4"/>
    <m/>
    <s v="\Mission.Space_Seg.Spacecraft.PROPS\m\\default"/>
    <n v="48.0172716637666"/>
    <n v="20"/>
    <n v="9.6034543327533193"/>
    <s v="kg"/>
    <s v="CPROP"/>
    <m/>
    <s v="CPROP"/>
    <x v="2"/>
    <n v="4"/>
    <s v="Mission (Mission)"/>
    <s v="Space_Seg (Space Segment)"/>
    <x v="2"/>
    <x v="29"/>
    <m/>
  </r>
  <r>
    <s v="Mission.Space_Seg.Spacecraft.PROPS"/>
    <m/>
    <x v="5"/>
    <m/>
    <s v="\Mission.Space_Seg.Spacecraft.PROPS\P\\default"/>
    <n v="20"/>
    <m/>
    <m/>
    <s v="W"/>
    <s v="CPROP"/>
    <m/>
    <s v="CPROP"/>
    <x v="2"/>
    <n v="4"/>
    <s v="Mission (Mission)"/>
    <s v="Space_Seg (Space Segment)"/>
    <x v="2"/>
    <x v="29"/>
    <m/>
  </r>
  <r>
    <s v="Mission.Space_Seg.Spacecraft.PROPS"/>
    <m/>
    <x v="6"/>
    <s v="LAU"/>
    <s v="\Mission.Space_Seg.Spacecraft.PROPS\P_duty_cyc\LAU\default"/>
    <n v="-1"/>
    <m/>
    <m/>
    <s v="-"/>
    <s v="CPROP"/>
    <m/>
    <s v="CPROP"/>
    <x v="2"/>
    <n v="4"/>
    <s v="Mission (Mission)"/>
    <s v="Space_Seg (Space Segment)"/>
    <x v="2"/>
    <x v="29"/>
    <m/>
  </r>
  <r>
    <s v="Mission.Space_Seg.Spacecraft.PROPS"/>
    <m/>
    <x v="6"/>
    <s v="SAF"/>
    <s v="\Mission.Space_Seg.Spacecraft.PROPS\P_duty_cyc\SAF\default"/>
    <n v="-1"/>
    <m/>
    <m/>
    <s v="-"/>
    <s v="CPROP"/>
    <m/>
    <s v="CPROP"/>
    <x v="2"/>
    <n v="4"/>
    <s v="Mission (Mission)"/>
    <s v="Space_Seg (Space Segment)"/>
    <x v="2"/>
    <x v="29"/>
    <m/>
  </r>
  <r>
    <s v="Mission.Space_Seg.Spacecraft.PROPS"/>
    <m/>
    <x v="6"/>
    <s v="OBS"/>
    <s v="\Mission.Space_Seg.Spacecraft.PROPS\P_duty_cyc\OBS\default"/>
    <n v="1"/>
    <m/>
    <m/>
    <s v="-"/>
    <s v="CPROP"/>
    <m/>
    <s v="CPROP"/>
    <x v="2"/>
    <n v="4"/>
    <s v="Mission (Mission)"/>
    <s v="Space_Seg (Space Segment)"/>
    <x v="2"/>
    <x v="29"/>
    <m/>
  </r>
  <r>
    <s v="Mission.Space_Seg.Spacecraft.PROPS"/>
    <m/>
    <x v="6"/>
    <s v="COM"/>
    <s v="\Mission.Space_Seg.Spacecraft.PROPS\P_duty_cyc\COM\default"/>
    <n v="1"/>
    <m/>
    <m/>
    <s v="-"/>
    <s v="CPROP"/>
    <m/>
    <s v="CPROP"/>
    <x v="2"/>
    <n v="4"/>
    <s v="Mission (Mission)"/>
    <s v="Space_Seg (Space Segment)"/>
    <x v="2"/>
    <x v="29"/>
    <m/>
  </r>
  <r>
    <s v="Mission.Space_Seg.Spacecraft.PROPS"/>
    <m/>
    <x v="6"/>
    <s v="INJ"/>
    <s v="\Mission.Space_Seg.Spacecraft.PROPS\P_duty_cyc\INJ\default"/>
    <n v="1"/>
    <m/>
    <m/>
    <s v="-"/>
    <s v="CPROP"/>
    <m/>
    <s v="CPROP"/>
    <x v="2"/>
    <n v="4"/>
    <s v="Mission (Mission)"/>
    <s v="Space_Seg (Space Segment)"/>
    <x v="2"/>
    <x v="29"/>
    <m/>
  </r>
  <r>
    <s v="Mission.Space_Seg.Spacecraft.PROPS"/>
    <m/>
    <x v="6"/>
    <s v="CRU"/>
    <s v="\Mission.Space_Seg.Spacecraft.PROPS\P_duty_cyc\CRU\default"/>
    <n v="1"/>
    <m/>
    <m/>
    <s v="-"/>
    <s v="CPROP"/>
    <m/>
    <s v="CPROP"/>
    <x v="2"/>
    <n v="4"/>
    <s v="Mission (Mission)"/>
    <s v="Space_Seg (Space Segment)"/>
    <x v="2"/>
    <x v="29"/>
    <m/>
  </r>
  <r>
    <s v="Mission.Space_Seg.Spacecraft.PROPS"/>
    <m/>
    <x v="6"/>
    <s v="DEO"/>
    <s v="\Mission.Space_Seg.Spacecraft.PROPS\P_duty_cyc\DEO\default"/>
    <n v="1"/>
    <m/>
    <m/>
    <s v="-"/>
    <s v="CPROP"/>
    <m/>
    <s v="CPROP"/>
    <x v="2"/>
    <n v="4"/>
    <s v="Mission (Mission)"/>
    <s v="Space_Seg (Space Segment)"/>
    <x v="2"/>
    <x v="29"/>
    <m/>
  </r>
  <r>
    <s v="Mission.Space_Seg.Spacecraft.PWRS"/>
    <m/>
    <x v="0"/>
    <m/>
    <s v="\Mission.Space_Seg.Spacecraft.PWRS\_name_\\default"/>
    <s v="Power Subsystem"/>
    <m/>
    <m/>
    <m/>
    <s v="PWR"/>
    <m/>
    <s v="PWR"/>
    <x v="0"/>
    <n v="4"/>
    <s v="Mission (Mission)"/>
    <s v="Space_Seg (Space Segment)"/>
    <x v="2"/>
    <x v="30"/>
    <m/>
  </r>
  <r>
    <s v="Mission.Space_Seg.Spacecraft.PWRS"/>
    <m/>
    <x v="4"/>
    <m/>
    <s v="\Mission.Space_Seg.Spacecraft.PWRS\m\\default"/>
    <n v="40"/>
    <n v="20"/>
    <n v="8"/>
    <s v="kg"/>
    <s v="PWR"/>
    <m/>
    <s v="PWR"/>
    <x v="2"/>
    <n v="4"/>
    <s v="Mission (Mission)"/>
    <s v="Space_Seg (Space Segment)"/>
    <x v="2"/>
    <x v="30"/>
    <m/>
  </r>
  <r>
    <s v="Mission.Space_Seg.Spacecraft.PWRS"/>
    <m/>
    <x v="5"/>
    <m/>
    <s v="\Mission.Space_Seg.Spacecraft.PWRS\P\\default"/>
    <s v="-"/>
    <m/>
    <m/>
    <s v="W"/>
    <s v="PWR"/>
    <m/>
    <s v="PWR"/>
    <x v="2"/>
    <n v="4"/>
    <s v="Mission (Mission)"/>
    <s v="Space_Seg (Space Segment)"/>
    <x v="2"/>
    <x v="30"/>
    <m/>
  </r>
  <r>
    <s v="Mission.Space_Seg.Spacecraft.PWRS"/>
    <m/>
    <x v="6"/>
    <s v="LAU"/>
    <s v="\Mission.Space_Seg.Spacecraft.PWRS\P_duty_cyc\LAU\default"/>
    <s v="-"/>
    <m/>
    <m/>
    <s v="-"/>
    <s v="PWR"/>
    <m/>
    <s v="PWR"/>
    <x v="2"/>
    <n v="4"/>
    <s v="Mission (Mission)"/>
    <s v="Space_Seg (Space Segment)"/>
    <x v="2"/>
    <x v="30"/>
    <m/>
  </r>
  <r>
    <s v="Mission.Space_Seg.Spacecraft.PWRS"/>
    <m/>
    <x v="6"/>
    <s v="SAF"/>
    <s v="\Mission.Space_Seg.Spacecraft.PWRS\P_duty_cyc\SAF\default"/>
    <s v="-"/>
    <m/>
    <m/>
    <s v="-"/>
    <s v="PWR"/>
    <m/>
    <s v="PWR"/>
    <x v="2"/>
    <n v="4"/>
    <s v="Mission (Mission)"/>
    <s v="Space_Seg (Space Segment)"/>
    <x v="2"/>
    <x v="30"/>
    <m/>
  </r>
  <r>
    <s v="Mission.Space_Seg.Spacecraft.PWRS"/>
    <m/>
    <x v="6"/>
    <s v="OBS"/>
    <s v="\Mission.Space_Seg.Spacecraft.PWRS\P_duty_cyc\OBS\default"/>
    <s v="-"/>
    <m/>
    <m/>
    <s v="-"/>
    <s v="PWR"/>
    <m/>
    <s v="PWR"/>
    <x v="2"/>
    <n v="4"/>
    <s v="Mission (Mission)"/>
    <s v="Space_Seg (Space Segment)"/>
    <x v="2"/>
    <x v="30"/>
    <m/>
  </r>
  <r>
    <s v="Mission.Space_Seg.Spacecraft.PWRS"/>
    <m/>
    <x v="6"/>
    <s v="COM"/>
    <s v="\Mission.Space_Seg.Spacecraft.PWRS\P_duty_cyc\COM\default"/>
    <s v="-"/>
    <m/>
    <m/>
    <s v="-"/>
    <s v="PWR"/>
    <m/>
    <s v="PWR"/>
    <x v="2"/>
    <n v="4"/>
    <s v="Mission (Mission)"/>
    <s v="Space_Seg (Space Segment)"/>
    <x v="2"/>
    <x v="30"/>
    <m/>
  </r>
  <r>
    <s v="Mission.Space_Seg.Spacecraft.PWRS"/>
    <m/>
    <x v="6"/>
    <s v="INJ"/>
    <s v="\Mission.Space_Seg.Spacecraft.PWRS\P_duty_cyc\INJ\default"/>
    <s v="-"/>
    <m/>
    <m/>
    <s v="-"/>
    <s v="PWR"/>
    <m/>
    <s v="PWR"/>
    <x v="2"/>
    <n v="4"/>
    <s v="Mission (Mission)"/>
    <s v="Space_Seg (Space Segment)"/>
    <x v="2"/>
    <x v="30"/>
    <m/>
  </r>
  <r>
    <s v="Mission.Space_Seg.Spacecraft.PWRS"/>
    <m/>
    <x v="6"/>
    <s v="CRU"/>
    <s v="\Mission.Space_Seg.Spacecraft.PWRS\P_duty_cyc\CRU\default"/>
    <s v="-"/>
    <m/>
    <m/>
    <s v="-"/>
    <s v="PWR"/>
    <m/>
    <s v="PWR"/>
    <x v="2"/>
    <n v="4"/>
    <s v="Mission (Mission)"/>
    <s v="Space_Seg (Space Segment)"/>
    <x v="2"/>
    <x v="30"/>
    <m/>
  </r>
  <r>
    <s v="Mission.Space_Seg.Spacecraft.PWRS"/>
    <m/>
    <x v="6"/>
    <s v="DEO"/>
    <s v="\Mission.Space_Seg.Spacecraft.PWRS\P_duty_cyc\DEO\default"/>
    <s v="-"/>
    <m/>
    <m/>
    <s v="-"/>
    <s v="PWR"/>
    <m/>
    <s v="PWR"/>
    <x v="2"/>
    <n v="4"/>
    <s v="Mission (Mission)"/>
    <s v="Space_Seg (Space Segment)"/>
    <x v="2"/>
    <x v="30"/>
    <m/>
  </r>
  <r>
    <s v="Mission.Space_Seg.Spacecraft.RAD_1"/>
    <m/>
    <x v="0"/>
    <m/>
    <s v="\Mission.Space_Seg.Spacecraft.RAD_1\_name_\\default"/>
    <s v="Radiator #1"/>
    <m/>
    <m/>
    <m/>
    <s v="TC"/>
    <m/>
    <s v="TC"/>
    <x v="0"/>
    <n v="4"/>
    <s v="Mission (Mission)"/>
    <s v="Space_Seg (Space Segment)"/>
    <x v="2"/>
    <x v="31"/>
    <m/>
  </r>
  <r>
    <s v="Mission.Space_Seg.Spacecraft.RAD_1"/>
    <s v="Dimensions"/>
    <x v="1"/>
    <m/>
    <s v="\Mission.Space_Seg.Spacecraft.RAD_1\diam\\default"/>
    <s v="-"/>
    <m/>
    <m/>
    <s v="m"/>
    <s v="TC"/>
    <m/>
    <s v="TC"/>
    <x v="1"/>
    <n v="4"/>
    <s v="Mission (Mission)"/>
    <s v="Space_Seg (Space Segment)"/>
    <x v="2"/>
    <x v="31"/>
    <m/>
  </r>
  <r>
    <s v="Mission.Space_Seg.Spacecraft.RAD_1"/>
    <s v="Dimensions"/>
    <x v="2"/>
    <m/>
    <s v="\Mission.Space_Seg.Spacecraft.RAD_1\height\\default"/>
    <n v="5.0000000000000001E-3"/>
    <m/>
    <m/>
    <s v="m"/>
    <s v="TC"/>
    <m/>
    <s v="TC"/>
    <x v="1"/>
    <n v="4"/>
    <s v="Mission (Mission)"/>
    <s v="Space_Seg (Space Segment)"/>
    <x v="2"/>
    <x v="31"/>
    <m/>
  </r>
  <r>
    <s v="Mission.Space_Seg.Spacecraft.RAD_1"/>
    <s v="Dimensions"/>
    <x v="3"/>
    <m/>
    <s v="\Mission.Space_Seg.Spacecraft.RAD_1\len\\default"/>
    <n v="1.75"/>
    <m/>
    <m/>
    <s v="m"/>
    <s v="TC"/>
    <m/>
    <s v="TC"/>
    <x v="1"/>
    <n v="4"/>
    <s v="Mission (Mission)"/>
    <s v="Space_Seg (Space Segment)"/>
    <x v="2"/>
    <x v="31"/>
    <m/>
  </r>
  <r>
    <s v="Mission.Space_Seg.Spacecraft.RAD_1"/>
    <m/>
    <x v="4"/>
    <m/>
    <s v="\Mission.Space_Seg.Spacecraft.RAD_1\m\\default"/>
    <n v="1"/>
    <n v="20"/>
    <n v="0.2"/>
    <s v="kg"/>
    <s v="TC"/>
    <m/>
    <s v="TC"/>
    <x v="1"/>
    <n v="4"/>
    <s v="Mission (Mission)"/>
    <s v="Space_Seg (Space Segment)"/>
    <x v="2"/>
    <x v="31"/>
    <m/>
  </r>
  <r>
    <s v="Mission.Space_Seg.Spacecraft.RAD_1"/>
    <m/>
    <x v="5"/>
    <m/>
    <s v="\Mission.Space_Seg.Spacecraft.RAD_1\P\\default"/>
    <s v="-"/>
    <m/>
    <m/>
    <s v="W"/>
    <s v="TC"/>
    <m/>
    <s v="TC"/>
    <x v="1"/>
    <n v="4"/>
    <s v="Mission (Mission)"/>
    <s v="Space_Seg (Space Segment)"/>
    <x v="2"/>
    <x v="31"/>
    <m/>
  </r>
  <r>
    <s v="Mission.Space_Seg.Spacecraft.RAD_1"/>
    <m/>
    <x v="6"/>
    <m/>
    <s v="\Mission.Space_Seg.Spacecraft.RAD_1\P_duty_cyc\\default"/>
    <s v="-"/>
    <m/>
    <m/>
    <s v="-"/>
    <s v="TC"/>
    <m/>
    <s v="TC"/>
    <x v="1"/>
    <n v="4"/>
    <s v="Mission (Mission)"/>
    <s v="Space_Seg (Space Segment)"/>
    <x v="2"/>
    <x v="31"/>
    <m/>
  </r>
  <r>
    <s v="Mission.Space_Seg.Spacecraft.RAD_1"/>
    <m/>
    <x v="7"/>
    <m/>
    <s v="\Mission.Space_Seg.Spacecraft.RAD_1\redundancy.scheme\\default"/>
    <s v="-"/>
    <m/>
    <m/>
    <m/>
    <s v="TC"/>
    <m/>
    <s v="TC"/>
    <x v="1"/>
    <n v="4"/>
    <s v="Mission (Mission)"/>
    <s v="Space_Seg (Space Segment)"/>
    <x v="2"/>
    <x v="31"/>
    <m/>
  </r>
  <r>
    <s v="Mission.Space_Seg.Spacecraft.RAD_1"/>
    <m/>
    <x v="8"/>
    <m/>
    <s v="\Mission.Space_Seg.Spacecraft.RAD_1\redundancy.type\\default"/>
    <s v="-"/>
    <m/>
    <m/>
    <m/>
    <s v="TC"/>
    <m/>
    <s v="TC"/>
    <x v="1"/>
    <n v="4"/>
    <s v="Mission (Mission)"/>
    <s v="Space_Seg (Space Segment)"/>
    <x v="2"/>
    <x v="31"/>
    <m/>
  </r>
  <r>
    <s v="Mission.Space_Seg.Spacecraft.RAD_1"/>
    <m/>
    <x v="9"/>
    <m/>
    <s v="\Mission.Space_Seg.Spacecraft.RAD_1\redundancy.k\\default"/>
    <s v="-"/>
    <m/>
    <m/>
    <m/>
    <s v="TC"/>
    <m/>
    <s v="TC"/>
    <x v="1"/>
    <n v="4"/>
    <s v="Mission (Mission)"/>
    <s v="Space_Seg (Space Segment)"/>
    <x v="2"/>
    <x v="31"/>
    <m/>
  </r>
  <r>
    <s v="Mission.Space_Seg.Spacecraft.RAD_1"/>
    <m/>
    <x v="10"/>
    <m/>
    <s v="\Mission.Space_Seg.Spacecraft.RAD_1\redundancy.n\\default"/>
    <s v="-"/>
    <m/>
    <m/>
    <m/>
    <s v="TC"/>
    <m/>
    <s v="TC"/>
    <x v="1"/>
    <n v="4"/>
    <s v="Mission (Mission)"/>
    <s v="Space_Seg (Space Segment)"/>
    <x v="2"/>
    <x v="31"/>
    <m/>
  </r>
  <r>
    <s v="Mission.Space_Seg.Spacecraft.RAD_1"/>
    <m/>
    <x v="11"/>
    <m/>
    <s v="\Mission.Space_Seg.Spacecraft.RAD_1\Temp_oper_max\\default"/>
    <s v="-"/>
    <m/>
    <m/>
    <s v="°C"/>
    <s v="TC"/>
    <m/>
    <s v="TC"/>
    <x v="1"/>
    <n v="4"/>
    <s v="Mission (Mission)"/>
    <s v="Space_Seg (Space Segment)"/>
    <x v="2"/>
    <x v="31"/>
    <m/>
  </r>
  <r>
    <s v="Mission.Space_Seg.Spacecraft.RAD_1"/>
    <m/>
    <x v="12"/>
    <m/>
    <s v="\Mission.Space_Seg.Spacecraft.RAD_1\Temp_oper_min\\default"/>
    <s v="-"/>
    <m/>
    <m/>
    <s v="°C"/>
    <s v="TC"/>
    <m/>
    <s v="TC"/>
    <x v="1"/>
    <n v="4"/>
    <s v="Mission (Mission)"/>
    <s v="Space_Seg (Space Segment)"/>
    <x v="2"/>
    <x v="31"/>
    <m/>
  </r>
  <r>
    <s v="Mission.Space_Seg.Spacecraft.RAD_1"/>
    <m/>
    <x v="13"/>
    <m/>
    <s v="\Mission.Space_Seg.Spacecraft.RAD_1\TRL\\default"/>
    <s v="-"/>
    <m/>
    <m/>
    <m/>
    <s v="TC"/>
    <m/>
    <s v="TC"/>
    <x v="1"/>
    <n v="4"/>
    <s v="Mission (Mission)"/>
    <s v="Space_Seg (Space Segment)"/>
    <x v="2"/>
    <x v="31"/>
    <m/>
  </r>
  <r>
    <s v="Mission.Space_Seg.Spacecraft.RAD_1"/>
    <s v="Dimensions"/>
    <x v="14"/>
    <m/>
    <s v="\Mission.Space_Seg.Spacecraft.RAD_1\wid\\default"/>
    <n v="1"/>
    <m/>
    <m/>
    <s v="m"/>
    <s v="TC"/>
    <m/>
    <s v="TC"/>
    <x v="1"/>
    <n v="4"/>
    <s v="Mission (Mission)"/>
    <s v="Space_Seg (Space Segment)"/>
    <x v="2"/>
    <x v="31"/>
    <m/>
  </r>
  <r>
    <s v="Mission.Space_Seg.Spacecraft.RAD_2"/>
    <m/>
    <x v="0"/>
    <m/>
    <s v="\Mission.Space_Seg.Spacecraft.RAD_2\_name_\\default"/>
    <s v="Radiator #2"/>
    <m/>
    <m/>
    <m/>
    <s v="TC"/>
    <m/>
    <s v="TC"/>
    <x v="0"/>
    <n v="4"/>
    <s v="Mission (Mission)"/>
    <s v="Space_Seg (Space Segment)"/>
    <x v="2"/>
    <x v="32"/>
    <m/>
  </r>
  <r>
    <s v="Mission.Space_Seg.Spacecraft.RAD_2"/>
    <s v="Dimensions"/>
    <x v="1"/>
    <m/>
    <s v="\Mission.Space_Seg.Spacecraft.RAD_2\diam\\default"/>
    <s v="-"/>
    <m/>
    <m/>
    <s v="m"/>
    <s v="TC"/>
    <m/>
    <s v="TC"/>
    <x v="1"/>
    <n v="4"/>
    <s v="Mission (Mission)"/>
    <s v="Space_Seg (Space Segment)"/>
    <x v="2"/>
    <x v="32"/>
    <m/>
  </r>
  <r>
    <s v="Mission.Space_Seg.Spacecraft.RAD_2"/>
    <s v="Dimensions"/>
    <x v="2"/>
    <m/>
    <s v="\Mission.Space_Seg.Spacecraft.RAD_2\height\\default"/>
    <n v="5.0000000000000001E-3"/>
    <m/>
    <m/>
    <s v="m"/>
    <s v="TC"/>
    <m/>
    <s v="TC"/>
    <x v="1"/>
    <n v="4"/>
    <s v="Mission (Mission)"/>
    <s v="Space_Seg (Space Segment)"/>
    <x v="2"/>
    <x v="32"/>
    <m/>
  </r>
  <r>
    <s v="Mission.Space_Seg.Spacecraft.RAD_2"/>
    <s v="Dimensions"/>
    <x v="3"/>
    <m/>
    <s v="\Mission.Space_Seg.Spacecraft.RAD_2\len\\default"/>
    <n v="1.75"/>
    <m/>
    <m/>
    <s v="m"/>
    <s v="TC"/>
    <m/>
    <s v="TC"/>
    <x v="1"/>
    <n v="4"/>
    <s v="Mission (Mission)"/>
    <s v="Space_Seg (Space Segment)"/>
    <x v="2"/>
    <x v="32"/>
    <m/>
  </r>
  <r>
    <s v="Mission.Space_Seg.Spacecraft.RAD_2"/>
    <m/>
    <x v="4"/>
    <m/>
    <s v="\Mission.Space_Seg.Spacecraft.RAD_2\m\\default"/>
    <n v="1"/>
    <n v="20"/>
    <n v="0.2"/>
    <s v="kg"/>
    <s v="TC"/>
    <m/>
    <s v="TC"/>
    <x v="1"/>
    <n v="4"/>
    <s v="Mission (Mission)"/>
    <s v="Space_Seg (Space Segment)"/>
    <x v="2"/>
    <x v="32"/>
    <m/>
  </r>
  <r>
    <s v="Mission.Space_Seg.Spacecraft.RAD_2"/>
    <m/>
    <x v="5"/>
    <m/>
    <s v="\Mission.Space_Seg.Spacecraft.RAD_2\P\\default"/>
    <s v="-"/>
    <m/>
    <m/>
    <s v="W"/>
    <s v="TC"/>
    <m/>
    <s v="TC"/>
    <x v="1"/>
    <n v="4"/>
    <s v="Mission (Mission)"/>
    <s v="Space_Seg (Space Segment)"/>
    <x v="2"/>
    <x v="32"/>
    <m/>
  </r>
  <r>
    <s v="Mission.Space_Seg.Spacecraft.RAD_2"/>
    <m/>
    <x v="6"/>
    <m/>
    <s v="\Mission.Space_Seg.Spacecraft.RAD_2\P_duty_cyc\\default"/>
    <s v="-"/>
    <m/>
    <m/>
    <s v="-"/>
    <s v="TC"/>
    <m/>
    <s v="TC"/>
    <x v="1"/>
    <n v="4"/>
    <s v="Mission (Mission)"/>
    <s v="Space_Seg (Space Segment)"/>
    <x v="2"/>
    <x v="32"/>
    <m/>
  </r>
  <r>
    <s v="Mission.Space_Seg.Spacecraft.RAD_2"/>
    <m/>
    <x v="7"/>
    <m/>
    <s v="\Mission.Space_Seg.Spacecraft.RAD_2\redundancy.scheme\\default"/>
    <s v="-"/>
    <m/>
    <m/>
    <m/>
    <s v="TC"/>
    <m/>
    <s v="TC"/>
    <x v="1"/>
    <n v="4"/>
    <s v="Mission (Mission)"/>
    <s v="Space_Seg (Space Segment)"/>
    <x v="2"/>
    <x v="32"/>
    <m/>
  </r>
  <r>
    <s v="Mission.Space_Seg.Spacecraft.RAD_2"/>
    <m/>
    <x v="8"/>
    <m/>
    <s v="\Mission.Space_Seg.Spacecraft.RAD_2\redundancy.type\\default"/>
    <s v="-"/>
    <m/>
    <m/>
    <m/>
    <s v="TC"/>
    <m/>
    <s v="TC"/>
    <x v="1"/>
    <n v="4"/>
    <s v="Mission (Mission)"/>
    <s v="Space_Seg (Space Segment)"/>
    <x v="2"/>
    <x v="32"/>
    <m/>
  </r>
  <r>
    <s v="Mission.Space_Seg.Spacecraft.RAD_2"/>
    <m/>
    <x v="9"/>
    <m/>
    <s v="\Mission.Space_Seg.Spacecraft.RAD_2\redundancy.k\\default"/>
    <s v="-"/>
    <m/>
    <m/>
    <m/>
    <s v="TC"/>
    <m/>
    <s v="TC"/>
    <x v="1"/>
    <n v="4"/>
    <s v="Mission (Mission)"/>
    <s v="Space_Seg (Space Segment)"/>
    <x v="2"/>
    <x v="32"/>
    <m/>
  </r>
  <r>
    <s v="Mission.Space_Seg.Spacecraft.RAD_2"/>
    <m/>
    <x v="10"/>
    <m/>
    <s v="\Mission.Space_Seg.Spacecraft.RAD_2\redundancy.n\\default"/>
    <s v="-"/>
    <m/>
    <m/>
    <m/>
    <s v="TC"/>
    <m/>
    <s v="TC"/>
    <x v="1"/>
    <n v="4"/>
    <s v="Mission (Mission)"/>
    <s v="Space_Seg (Space Segment)"/>
    <x v="2"/>
    <x v="32"/>
    <m/>
  </r>
  <r>
    <s v="Mission.Space_Seg.Spacecraft.RAD_2"/>
    <m/>
    <x v="11"/>
    <m/>
    <s v="\Mission.Space_Seg.Spacecraft.RAD_2\Temp_oper_max\\default"/>
    <s v="-"/>
    <m/>
    <m/>
    <s v="°C"/>
    <s v="TC"/>
    <m/>
    <s v="TC"/>
    <x v="1"/>
    <n v="4"/>
    <s v="Mission (Mission)"/>
    <s v="Space_Seg (Space Segment)"/>
    <x v="2"/>
    <x v="32"/>
    <m/>
  </r>
  <r>
    <s v="Mission.Space_Seg.Spacecraft.RAD_2"/>
    <m/>
    <x v="12"/>
    <m/>
    <s v="\Mission.Space_Seg.Spacecraft.RAD_2\Temp_oper_min\\default"/>
    <s v="-"/>
    <m/>
    <m/>
    <s v="°C"/>
    <s v="TC"/>
    <m/>
    <s v="TC"/>
    <x v="1"/>
    <n v="4"/>
    <s v="Mission (Mission)"/>
    <s v="Space_Seg (Space Segment)"/>
    <x v="2"/>
    <x v="32"/>
    <m/>
  </r>
  <r>
    <s v="Mission.Space_Seg.Spacecraft.RAD_2"/>
    <m/>
    <x v="13"/>
    <m/>
    <s v="\Mission.Space_Seg.Spacecraft.RAD_2\TRL\\default"/>
    <s v="-"/>
    <m/>
    <m/>
    <m/>
    <s v="TC"/>
    <m/>
    <s v="TC"/>
    <x v="1"/>
    <n v="4"/>
    <s v="Mission (Mission)"/>
    <s v="Space_Seg (Space Segment)"/>
    <x v="2"/>
    <x v="32"/>
    <m/>
  </r>
  <r>
    <s v="Mission.Space_Seg.Spacecraft.RAD_2"/>
    <s v="Dimensions"/>
    <x v="14"/>
    <m/>
    <s v="\Mission.Space_Seg.Spacecraft.RAD_2\wid\\default"/>
    <n v="1"/>
    <m/>
    <m/>
    <s v="m"/>
    <s v="TC"/>
    <m/>
    <s v="TC"/>
    <x v="1"/>
    <n v="4"/>
    <s v="Mission (Mission)"/>
    <s v="Space_Seg (Space Segment)"/>
    <x v="2"/>
    <x v="32"/>
    <m/>
  </r>
  <r>
    <s v="Mission.Space_Seg.Spacecraft.RCSThr"/>
    <m/>
    <x v="0"/>
    <m/>
    <s v="\Mission.Space_Seg.Spacecraft.RCSThr\_name_\\default"/>
    <s v="RCS_Thrusters"/>
    <m/>
    <m/>
    <m/>
    <s v="CPROP"/>
    <m/>
    <s v="CPROP"/>
    <x v="0"/>
    <n v="4"/>
    <s v="Mission (Mission)"/>
    <s v="Space_Seg (Space Segment)"/>
    <x v="2"/>
    <x v="33"/>
    <m/>
  </r>
  <r>
    <s v="Mission.Space_Seg.Spacecraft.RCSThr"/>
    <s v="Dimensions"/>
    <x v="1"/>
    <m/>
    <s v="\Mission.Space_Seg.Spacecraft.RCSThr\diam\\default"/>
    <n v="0.04"/>
    <m/>
    <m/>
    <s v="m"/>
    <s v="CPROP"/>
    <m/>
    <s v="CPROP"/>
    <x v="1"/>
    <n v="4"/>
    <s v="Mission (Mission)"/>
    <s v="Space_Seg (Space Segment)"/>
    <x v="2"/>
    <x v="33"/>
    <m/>
  </r>
  <r>
    <s v="Mission.Space_Seg.Spacecraft.RCSThr"/>
    <m/>
    <x v="27"/>
    <m/>
    <s v="\Mission.Space_Seg.Spacecraft.RCSThr\I_sp\\default"/>
    <n v="292"/>
    <m/>
    <m/>
    <s v="s"/>
    <s v="CPROP"/>
    <m/>
    <s v="CPROP"/>
    <x v="1"/>
    <n v="4"/>
    <s v="Mission (Mission)"/>
    <s v="Space_Seg (Space Segment)"/>
    <x v="2"/>
    <x v="33"/>
    <m/>
  </r>
  <r>
    <s v="Mission.Space_Seg.Spacecraft.RCSThr"/>
    <s v="Dimensions"/>
    <x v="3"/>
    <m/>
    <s v="\Mission.Space_Seg.Spacecraft.RCSThr\len\\default"/>
    <n v="0.13"/>
    <m/>
    <m/>
    <s v="m"/>
    <s v="CPROP"/>
    <m/>
    <s v="CPROP"/>
    <x v="1"/>
    <n v="4"/>
    <s v="Mission (Mission)"/>
    <s v="Space_Seg (Space Segment)"/>
    <x v="2"/>
    <x v="33"/>
    <m/>
  </r>
  <r>
    <s v="Mission.Space_Seg.Spacecraft.RCSThr"/>
    <m/>
    <x v="4"/>
    <m/>
    <s v="\Mission.Space_Seg.Spacecraft.RCSThr\m\\default"/>
    <n v="0.35"/>
    <n v="20"/>
    <n v="6.9999999999999993E-2"/>
    <s v="kg"/>
    <s v="CPROP"/>
    <m/>
    <s v="CPROP"/>
    <x v="1"/>
    <n v="4"/>
    <s v="Mission (Mission)"/>
    <s v="Space_Seg (Space Segment)"/>
    <x v="2"/>
    <x v="33"/>
    <m/>
  </r>
  <r>
    <s v="Mission.Space_Seg.Spacecraft.RCSThr"/>
    <m/>
    <x v="25"/>
    <m/>
    <s v="\Mission.Space_Seg.Spacecraft.RCSThr\n_items\\default"/>
    <n v="16"/>
    <m/>
    <m/>
    <s v="-"/>
    <s v="CPROP"/>
    <m/>
    <s v="CPROP"/>
    <x v="1"/>
    <n v="4"/>
    <s v="Mission (Mission)"/>
    <s v="Space_Seg (Space Segment)"/>
    <x v="2"/>
    <x v="33"/>
    <m/>
  </r>
  <r>
    <s v="Mission.Space_Seg.Spacecraft.RCSThr"/>
    <m/>
    <x v="5"/>
    <m/>
    <s v="\Mission.Space_Seg.Spacecraft.RCSThr\P\\default"/>
    <n v="0"/>
    <m/>
    <m/>
    <s v="W"/>
    <s v="CPROP"/>
    <m/>
    <s v="CPROP"/>
    <x v="1"/>
    <n v="4"/>
    <s v="Mission (Mission)"/>
    <s v="Space_Seg (Space Segment)"/>
    <x v="2"/>
    <x v="33"/>
    <m/>
  </r>
  <r>
    <s v="Mission.Space_Seg.Spacecraft.RCSThr"/>
    <m/>
    <x v="6"/>
    <s v="LAU"/>
    <s v="\Mission.Space_Seg.Spacecraft.RCSThr\P_duty_cyc\LAU\default"/>
    <n v="-1"/>
    <m/>
    <m/>
    <s v="-"/>
    <s v="CPROP"/>
    <m/>
    <s v="CPROP"/>
    <x v="1"/>
    <n v="4"/>
    <s v="Mission (Mission)"/>
    <s v="Space_Seg (Space Segment)"/>
    <x v="2"/>
    <x v="33"/>
    <m/>
  </r>
  <r>
    <s v="Mission.Space_Seg.Spacecraft.RCSThr"/>
    <m/>
    <x v="6"/>
    <s v="SAF"/>
    <s v="\Mission.Space_Seg.Spacecraft.RCSThr\P_duty_cyc\SAF\default"/>
    <n v="-1"/>
    <m/>
    <m/>
    <s v="-"/>
    <s v="CPROP"/>
    <m/>
    <s v="CPROP"/>
    <x v="1"/>
    <n v="4"/>
    <s v="Mission (Mission)"/>
    <s v="Space_Seg (Space Segment)"/>
    <x v="2"/>
    <x v="33"/>
    <m/>
  </r>
  <r>
    <s v="Mission.Space_Seg.Spacecraft.RCSThr"/>
    <m/>
    <x v="6"/>
    <s v="OBS"/>
    <s v="\Mission.Space_Seg.Spacecraft.RCSThr\P_duty_cyc\OBS\default"/>
    <n v="1"/>
    <m/>
    <m/>
    <s v="-"/>
    <s v="CPROP"/>
    <m/>
    <s v="CPROP"/>
    <x v="1"/>
    <n v="4"/>
    <s v="Mission (Mission)"/>
    <s v="Space_Seg (Space Segment)"/>
    <x v="2"/>
    <x v="33"/>
    <m/>
  </r>
  <r>
    <s v="Mission.Space_Seg.Spacecraft.RCSThr"/>
    <m/>
    <x v="6"/>
    <s v="COM"/>
    <s v="\Mission.Space_Seg.Spacecraft.RCSThr\P_duty_cyc\COM\default"/>
    <n v="1"/>
    <m/>
    <m/>
    <s v="-"/>
    <s v="CPROP"/>
    <m/>
    <s v="CPROP"/>
    <x v="1"/>
    <n v="4"/>
    <s v="Mission (Mission)"/>
    <s v="Space_Seg (Space Segment)"/>
    <x v="2"/>
    <x v="33"/>
    <m/>
  </r>
  <r>
    <s v="Mission.Space_Seg.Spacecraft.RCSThr"/>
    <m/>
    <x v="6"/>
    <s v="INJ"/>
    <s v="\Mission.Space_Seg.Spacecraft.RCSThr\P_duty_cyc\INJ\default"/>
    <n v="1"/>
    <m/>
    <m/>
    <s v="-"/>
    <s v="CPROP"/>
    <m/>
    <s v="CPROP"/>
    <x v="1"/>
    <n v="4"/>
    <s v="Mission (Mission)"/>
    <s v="Space_Seg (Space Segment)"/>
    <x v="2"/>
    <x v="33"/>
    <m/>
  </r>
  <r>
    <s v="Mission.Space_Seg.Spacecraft.RCSThr"/>
    <m/>
    <x v="6"/>
    <s v="CRU"/>
    <s v="\Mission.Space_Seg.Spacecraft.RCSThr\P_duty_cyc\CRU\default"/>
    <n v="1"/>
    <m/>
    <m/>
    <s v="-"/>
    <s v="CPROP"/>
    <m/>
    <s v="CPROP"/>
    <x v="1"/>
    <n v="4"/>
    <s v="Mission (Mission)"/>
    <s v="Space_Seg (Space Segment)"/>
    <x v="2"/>
    <x v="33"/>
    <m/>
  </r>
  <r>
    <s v="Mission.Space_Seg.Spacecraft.RCSThr"/>
    <m/>
    <x v="6"/>
    <s v="DEO"/>
    <s v="\Mission.Space_Seg.Spacecraft.RCSThr\P_duty_cyc\DEO\default"/>
    <n v="1"/>
    <m/>
    <m/>
    <s v="-"/>
    <s v="CPROP"/>
    <m/>
    <s v="CPROP"/>
    <x v="1"/>
    <n v="4"/>
    <s v="Mission (Mission)"/>
    <s v="Space_Seg (Space Segment)"/>
    <x v="2"/>
    <x v="33"/>
    <m/>
  </r>
  <r>
    <s v="Mission.Space_Seg.Spacecraft.RCSThr"/>
    <m/>
    <x v="7"/>
    <m/>
    <s v="\Mission.Space_Seg.Spacecraft.RCSThr\redundancy.scheme\\default"/>
    <s v="hot"/>
    <m/>
    <m/>
    <m/>
    <s v="CPROP"/>
    <m/>
    <s v="CPROP"/>
    <x v="1"/>
    <n v="4"/>
    <s v="Mission (Mission)"/>
    <s v="Space_Seg (Space Segment)"/>
    <x v="2"/>
    <x v="33"/>
    <m/>
  </r>
  <r>
    <s v="Mission.Space_Seg.Spacecraft.RCSThr"/>
    <m/>
    <x v="8"/>
    <m/>
    <s v="\Mission.Space_Seg.Spacecraft.RCSThr\redundancy.type\\default"/>
    <s v="internal"/>
    <m/>
    <m/>
    <m/>
    <s v="CPROP"/>
    <m/>
    <s v="CPROP"/>
    <x v="1"/>
    <n v="4"/>
    <s v="Mission (Mission)"/>
    <s v="Space_Seg (Space Segment)"/>
    <x v="2"/>
    <x v="33"/>
    <m/>
  </r>
  <r>
    <s v="Mission.Space_Seg.Spacecraft.RCSThr"/>
    <m/>
    <x v="9"/>
    <m/>
    <s v="\Mission.Space_Seg.Spacecraft.RCSThr\redundancy.k\\default"/>
    <n v="8"/>
    <m/>
    <m/>
    <m/>
    <s v="CPROP"/>
    <m/>
    <s v="CPROP"/>
    <x v="1"/>
    <n v="4"/>
    <s v="Mission (Mission)"/>
    <s v="Space_Seg (Space Segment)"/>
    <x v="2"/>
    <x v="33"/>
    <m/>
  </r>
  <r>
    <s v="Mission.Space_Seg.Spacecraft.RCSThr"/>
    <m/>
    <x v="10"/>
    <m/>
    <s v="\Mission.Space_Seg.Spacecraft.RCSThr\redundancy.n\\default"/>
    <n v="16"/>
    <m/>
    <m/>
    <m/>
    <s v="CPROP"/>
    <m/>
    <s v="CPROP"/>
    <x v="1"/>
    <n v="4"/>
    <s v="Mission (Mission)"/>
    <s v="Space_Seg (Space Segment)"/>
    <x v="2"/>
    <x v="33"/>
    <m/>
  </r>
  <r>
    <s v="Mission.Space_Seg.Spacecraft.RCSThr"/>
    <m/>
    <x v="11"/>
    <m/>
    <s v="\Mission.Space_Seg.Spacecraft.RCSThr\Temp_oper_max\\default"/>
    <n v="1500"/>
    <m/>
    <m/>
    <s v="°C"/>
    <s v="CPROP"/>
    <m/>
    <s v="CPROP"/>
    <x v="1"/>
    <n v="4"/>
    <s v="Mission (Mission)"/>
    <s v="Space_Seg (Space Segment)"/>
    <x v="2"/>
    <x v="33"/>
    <m/>
  </r>
  <r>
    <s v="Mission.Space_Seg.Spacecraft.RCSThr"/>
    <m/>
    <x v="12"/>
    <m/>
    <s v="\Mission.Space_Seg.Spacecraft.RCSThr\Temp_oper_min\\default"/>
    <n v="90"/>
    <m/>
    <m/>
    <s v="°C"/>
    <s v="CPROP"/>
    <m/>
    <s v="CPROP"/>
    <x v="1"/>
    <n v="4"/>
    <s v="Mission (Mission)"/>
    <s v="Space_Seg (Space Segment)"/>
    <x v="2"/>
    <x v="33"/>
    <m/>
  </r>
  <r>
    <s v="Mission.Space_Seg.Spacecraft.RCSThr"/>
    <m/>
    <x v="28"/>
    <m/>
    <s v="\Mission.Space_Seg.Spacecraft.RCSThr\Th\\default"/>
    <n v="10"/>
    <m/>
    <m/>
    <s v="N"/>
    <s v="CPROP"/>
    <m/>
    <s v="CPROP"/>
    <x v="1"/>
    <n v="4"/>
    <s v="Mission (Mission)"/>
    <s v="Space_Seg (Space Segment)"/>
    <x v="2"/>
    <x v="33"/>
    <m/>
  </r>
  <r>
    <s v="Mission.Space_Seg.Spacecraft.RCSThr"/>
    <m/>
    <x v="13"/>
    <m/>
    <s v="\Mission.Space_Seg.Spacecraft.RCSThr\TRL\\default"/>
    <n v="9"/>
    <m/>
    <m/>
    <m/>
    <s v="CPROP"/>
    <m/>
    <s v="CPROP"/>
    <x v="1"/>
    <n v="4"/>
    <s v="Mission (Mission)"/>
    <s v="Space_Seg (Space Segment)"/>
    <x v="2"/>
    <x v="33"/>
    <m/>
  </r>
  <r>
    <s v="Mission.Space_Seg.Spacecraft.RMU"/>
    <m/>
    <x v="0"/>
    <m/>
    <s v="\Mission.Space_Seg.Spacecraft.RMU\_name_\\default"/>
    <s v="RMU"/>
    <m/>
    <m/>
    <m/>
    <s v="INS"/>
    <m/>
    <s v="INS"/>
    <x v="0"/>
    <n v="4"/>
    <s v="Mission (Mission)"/>
    <s v="Space_Seg (Space Segment)"/>
    <x v="2"/>
    <x v="34"/>
    <m/>
  </r>
  <r>
    <s v="Mission.Space_Seg.Spacecraft.RMU"/>
    <s v="Dimensions"/>
    <x v="1"/>
    <m/>
    <s v="\Mission.Space_Seg.Spacecraft.RMU\diam\\default"/>
    <s v="-"/>
    <m/>
    <m/>
    <s v="m"/>
    <s v="INS"/>
    <m/>
    <s v="INS"/>
    <x v="1"/>
    <n v="4"/>
    <s v="Mission (Mission)"/>
    <s v="Space_Seg (Space Segment)"/>
    <x v="2"/>
    <x v="34"/>
    <m/>
  </r>
  <r>
    <s v="Mission.Space_Seg.Spacecraft.RMU"/>
    <s v="Dimensions"/>
    <x v="2"/>
    <m/>
    <s v="\Mission.Space_Seg.Spacecraft.RMU\height\\default"/>
    <n v="0.1"/>
    <m/>
    <m/>
    <s v="m"/>
    <s v="INS"/>
    <m/>
    <s v="INS"/>
    <x v="1"/>
    <n v="4"/>
    <s v="Mission (Mission)"/>
    <s v="Space_Seg (Space Segment)"/>
    <x v="2"/>
    <x v="34"/>
    <m/>
  </r>
  <r>
    <s v="Mission.Space_Seg.Spacecraft.RMU"/>
    <s v="Dimensions"/>
    <x v="3"/>
    <m/>
    <s v="\Mission.Space_Seg.Spacecraft.RMU\len\\default"/>
    <n v="0.1"/>
    <m/>
    <m/>
    <s v="m"/>
    <s v="INS"/>
    <m/>
    <s v="INS"/>
    <x v="1"/>
    <n v="4"/>
    <s v="Mission (Mission)"/>
    <s v="Space_Seg (Space Segment)"/>
    <x v="2"/>
    <x v="34"/>
    <m/>
  </r>
  <r>
    <s v="Mission.Space_Seg.Spacecraft.RMU"/>
    <m/>
    <x v="4"/>
    <m/>
    <s v="\Mission.Space_Seg.Spacecraft.RMU\m\\default"/>
    <n v="1.5"/>
    <n v="5"/>
    <n v="7.4999999999999997E-2"/>
    <s v="kg"/>
    <s v="INS"/>
    <m/>
    <s v="INS"/>
    <x v="1"/>
    <n v="4"/>
    <s v="Mission (Mission)"/>
    <s v="Space_Seg (Space Segment)"/>
    <x v="2"/>
    <x v="34"/>
    <m/>
  </r>
  <r>
    <s v="Mission.Space_Seg.Spacecraft.RMU"/>
    <m/>
    <x v="5"/>
    <m/>
    <s v="\Mission.Space_Seg.Spacecraft.RMU\P\\default"/>
    <n v="5"/>
    <m/>
    <m/>
    <s v="W"/>
    <s v="INS"/>
    <m/>
    <s v="INS"/>
    <x v="1"/>
    <n v="4"/>
    <s v="Mission (Mission)"/>
    <s v="Space_Seg (Space Segment)"/>
    <x v="2"/>
    <x v="34"/>
    <m/>
  </r>
  <r>
    <s v="Mission.Space_Seg.Spacecraft.RMU"/>
    <m/>
    <x v="6"/>
    <s v="LAU"/>
    <s v="\Mission.Space_Seg.Spacecraft.RMU\P_duty_cyc\LAU\default"/>
    <n v="-1"/>
    <m/>
    <m/>
    <s v="-"/>
    <s v="INS"/>
    <m/>
    <s v="INS"/>
    <x v="1"/>
    <n v="4"/>
    <s v="Mission (Mission)"/>
    <s v="Space_Seg (Space Segment)"/>
    <x v="2"/>
    <x v="34"/>
    <m/>
  </r>
  <r>
    <s v="Mission.Space_Seg.Spacecraft.RMU"/>
    <m/>
    <x v="6"/>
    <s v="SAF"/>
    <s v="\Mission.Space_Seg.Spacecraft.RMU\P_duty_cyc\SAF\default"/>
    <n v="1"/>
    <m/>
    <m/>
    <s v="-"/>
    <s v="INS"/>
    <m/>
    <s v="INS"/>
    <x v="1"/>
    <n v="4"/>
    <s v="Mission (Mission)"/>
    <s v="Space_Seg (Space Segment)"/>
    <x v="2"/>
    <x v="34"/>
    <m/>
  </r>
  <r>
    <s v="Mission.Space_Seg.Spacecraft.RMU"/>
    <m/>
    <x v="6"/>
    <s v="OBS"/>
    <s v="\Mission.Space_Seg.Spacecraft.RMU\P_duty_cyc\OBS\default"/>
    <n v="1"/>
    <m/>
    <m/>
    <s v="-"/>
    <s v="INS"/>
    <m/>
    <s v="INS"/>
    <x v="1"/>
    <n v="4"/>
    <s v="Mission (Mission)"/>
    <s v="Space_Seg (Space Segment)"/>
    <x v="2"/>
    <x v="34"/>
    <m/>
  </r>
  <r>
    <s v="Mission.Space_Seg.Spacecraft.RMU"/>
    <m/>
    <x v="6"/>
    <s v="COM"/>
    <s v="\Mission.Space_Seg.Spacecraft.RMU\P_duty_cyc\COM\default"/>
    <n v="1"/>
    <m/>
    <m/>
    <s v="-"/>
    <s v="INS"/>
    <m/>
    <s v="INS"/>
    <x v="1"/>
    <n v="4"/>
    <s v="Mission (Mission)"/>
    <s v="Space_Seg (Space Segment)"/>
    <x v="2"/>
    <x v="34"/>
    <m/>
  </r>
  <r>
    <s v="Mission.Space_Seg.Spacecraft.RMU"/>
    <m/>
    <x v="6"/>
    <s v="INJ"/>
    <s v="\Mission.Space_Seg.Spacecraft.RMU\P_duty_cyc\INJ\default"/>
    <n v="1"/>
    <m/>
    <m/>
    <s v="-"/>
    <s v="INS"/>
    <m/>
    <s v="INS"/>
    <x v="1"/>
    <n v="4"/>
    <s v="Mission (Mission)"/>
    <s v="Space_Seg (Space Segment)"/>
    <x v="2"/>
    <x v="34"/>
    <m/>
  </r>
  <r>
    <s v="Mission.Space_Seg.Spacecraft.RMU"/>
    <m/>
    <x v="6"/>
    <s v="CRU"/>
    <s v="\Mission.Space_Seg.Spacecraft.RMU\P_duty_cyc\CRU\default"/>
    <n v="1"/>
    <m/>
    <m/>
    <s v="-"/>
    <s v="INS"/>
    <m/>
    <s v="INS"/>
    <x v="1"/>
    <n v="4"/>
    <s v="Mission (Mission)"/>
    <s v="Space_Seg (Space Segment)"/>
    <x v="2"/>
    <x v="34"/>
    <m/>
  </r>
  <r>
    <s v="Mission.Space_Seg.Spacecraft.RMU"/>
    <m/>
    <x v="6"/>
    <s v="DEO"/>
    <s v="\Mission.Space_Seg.Spacecraft.RMU\P_duty_cyc\DEO\default"/>
    <n v="1"/>
    <m/>
    <m/>
    <s v="-"/>
    <s v="INS"/>
    <m/>
    <s v="INS"/>
    <x v="1"/>
    <n v="4"/>
    <s v="Mission (Mission)"/>
    <s v="Space_Seg (Space Segment)"/>
    <x v="2"/>
    <x v="34"/>
    <m/>
  </r>
  <r>
    <s v="Mission.Space_Seg.Spacecraft.RMU"/>
    <m/>
    <x v="7"/>
    <m/>
    <s v="\Mission.Space_Seg.Spacecraft.RMU\redundancy.scheme\\default"/>
    <s v="-"/>
    <m/>
    <m/>
    <m/>
    <s v="INS"/>
    <m/>
    <s v="INS"/>
    <x v="1"/>
    <n v="4"/>
    <s v="Mission (Mission)"/>
    <s v="Space_Seg (Space Segment)"/>
    <x v="2"/>
    <x v="34"/>
    <m/>
  </r>
  <r>
    <s v="Mission.Space_Seg.Spacecraft.RMU"/>
    <m/>
    <x v="8"/>
    <m/>
    <s v="\Mission.Space_Seg.Spacecraft.RMU\redundancy.type\\default"/>
    <s v="-"/>
    <m/>
    <m/>
    <m/>
    <s v="INS"/>
    <m/>
    <s v="INS"/>
    <x v="1"/>
    <n v="4"/>
    <s v="Mission (Mission)"/>
    <s v="Space_Seg (Space Segment)"/>
    <x v="2"/>
    <x v="34"/>
    <m/>
  </r>
  <r>
    <s v="Mission.Space_Seg.Spacecraft.RMU"/>
    <m/>
    <x v="9"/>
    <m/>
    <s v="\Mission.Space_Seg.Spacecraft.RMU\redundancy.k\\default"/>
    <s v="-"/>
    <m/>
    <m/>
    <m/>
    <s v="INS"/>
    <m/>
    <s v="INS"/>
    <x v="1"/>
    <n v="4"/>
    <s v="Mission (Mission)"/>
    <s v="Space_Seg (Space Segment)"/>
    <x v="2"/>
    <x v="34"/>
    <m/>
  </r>
  <r>
    <s v="Mission.Space_Seg.Spacecraft.RMU"/>
    <m/>
    <x v="10"/>
    <m/>
    <s v="\Mission.Space_Seg.Spacecraft.RMU\redundancy.n\\default"/>
    <s v="-"/>
    <m/>
    <m/>
    <m/>
    <s v="INS"/>
    <m/>
    <s v="INS"/>
    <x v="1"/>
    <n v="4"/>
    <s v="Mission (Mission)"/>
    <s v="Space_Seg (Space Segment)"/>
    <x v="2"/>
    <x v="34"/>
    <m/>
  </r>
  <r>
    <s v="Mission.Space_Seg.Spacecraft.RMU"/>
    <m/>
    <x v="11"/>
    <m/>
    <s v="\Mission.Space_Seg.Spacecraft.RMU\Temp_oper_max\\default"/>
    <n v="60"/>
    <m/>
    <m/>
    <s v="°C"/>
    <s v="INS"/>
    <m/>
    <s v="INS"/>
    <x v="1"/>
    <n v="4"/>
    <s v="Mission (Mission)"/>
    <s v="Space_Seg (Space Segment)"/>
    <x v="2"/>
    <x v="34"/>
    <m/>
  </r>
  <r>
    <s v="Mission.Space_Seg.Spacecraft.RMU"/>
    <m/>
    <x v="12"/>
    <m/>
    <s v="\Mission.Space_Seg.Spacecraft.RMU\Temp_oper_min\\default"/>
    <n v="-40"/>
    <m/>
    <m/>
    <s v="°C"/>
    <s v="INS"/>
    <m/>
    <s v="INS"/>
    <x v="1"/>
    <n v="4"/>
    <s v="Mission (Mission)"/>
    <s v="Space_Seg (Space Segment)"/>
    <x v="2"/>
    <x v="34"/>
    <m/>
  </r>
  <r>
    <s v="Mission.Space_Seg.Spacecraft.RMU"/>
    <m/>
    <x v="13"/>
    <m/>
    <s v="\Mission.Space_Seg.Spacecraft.RMU\TRL\\default"/>
    <n v="9"/>
    <m/>
    <m/>
    <m/>
    <s v="INS"/>
    <m/>
    <s v="INS"/>
    <x v="1"/>
    <n v="4"/>
    <s v="Mission (Mission)"/>
    <s v="Space_Seg (Space Segment)"/>
    <x v="2"/>
    <x v="34"/>
    <m/>
  </r>
  <r>
    <s v="Mission.Space_Seg.Spacecraft.RMU"/>
    <s v="Dimensions"/>
    <x v="14"/>
    <m/>
    <s v="\Mission.Space_Seg.Spacecraft.RMU\wid\\default"/>
    <n v="0.1"/>
    <m/>
    <m/>
    <s v="m"/>
    <s v="INS"/>
    <m/>
    <s v="INS"/>
    <x v="1"/>
    <n v="4"/>
    <s v="Mission (Mission)"/>
    <s v="Space_Seg (Space Segment)"/>
    <x v="2"/>
    <x v="34"/>
    <m/>
  </r>
  <r>
    <s v="Mission.Space_Seg.Spacecraft.RW_1"/>
    <m/>
    <x v="0"/>
    <m/>
    <s v="\Mission.Space_Seg.Spacecraft.RW_1\_name_\\default"/>
    <s v="Reaction Wheel #1"/>
    <m/>
    <m/>
    <m/>
    <s v="AOGNC"/>
    <m/>
    <s v="AOGNC"/>
    <x v="0"/>
    <n v="4"/>
    <s v="Mission (Mission)"/>
    <s v="Space_Seg (Space Segment)"/>
    <x v="2"/>
    <x v="35"/>
    <m/>
  </r>
  <r>
    <s v="Mission.Space_Seg.Spacecraft.RW_1"/>
    <s v="Dimensions"/>
    <x v="1"/>
    <m/>
    <s v="\Mission.Space_Seg.Spacecraft.RW_1\diam\\default"/>
    <s v="-"/>
    <m/>
    <m/>
    <s v="m"/>
    <s v="AOGNC"/>
    <m/>
    <s v="AOGNC"/>
    <x v="1"/>
    <n v="4"/>
    <s v="Mission (Mission)"/>
    <s v="Space_Seg (Space Segment)"/>
    <x v="2"/>
    <x v="35"/>
    <m/>
  </r>
  <r>
    <s v="Mission.Space_Seg.Spacecraft.RW_1"/>
    <s v="Dimensions"/>
    <x v="2"/>
    <m/>
    <s v="\Mission.Space_Seg.Spacecraft.RW_1\height\\default"/>
    <n v="7.0000000000000007E-2"/>
    <m/>
    <m/>
    <s v="m"/>
    <s v="AOGNC"/>
    <m/>
    <s v="AOGNC"/>
    <x v="1"/>
    <n v="4"/>
    <s v="Mission (Mission)"/>
    <s v="Space_Seg (Space Segment)"/>
    <x v="2"/>
    <x v="35"/>
    <m/>
  </r>
  <r>
    <s v="Mission.Space_Seg.Spacecraft.RW_1"/>
    <s v="Dimensions"/>
    <x v="3"/>
    <m/>
    <s v="\Mission.Space_Seg.Spacecraft.RW_1\len\\default"/>
    <n v="0.17"/>
    <m/>
    <m/>
    <s v="m"/>
    <s v="AOGNC"/>
    <m/>
    <s v="AOGNC"/>
    <x v="1"/>
    <n v="4"/>
    <s v="Mission (Mission)"/>
    <s v="Space_Seg (Space Segment)"/>
    <x v="2"/>
    <x v="35"/>
    <m/>
  </r>
  <r>
    <s v="Mission.Space_Seg.Spacecraft.RW_1"/>
    <m/>
    <x v="4"/>
    <m/>
    <s v="\Mission.Space_Seg.Spacecraft.RW_1\m\\default"/>
    <n v="3"/>
    <n v="5"/>
    <n v="0.15"/>
    <s v="kg"/>
    <s v="AOGNC"/>
    <m/>
    <s v="AOGNC"/>
    <x v="1"/>
    <n v="4"/>
    <s v="Mission (Mission)"/>
    <s v="Space_Seg (Space Segment)"/>
    <x v="2"/>
    <x v="35"/>
    <m/>
  </r>
  <r>
    <s v="Mission.Space_Seg.Spacecraft.RW_1"/>
    <m/>
    <x v="5"/>
    <m/>
    <s v="\Mission.Space_Seg.Spacecraft.RW_1\P\\default"/>
    <n v="10"/>
    <m/>
    <m/>
    <s v="W"/>
    <s v="AOGNC"/>
    <m/>
    <s v="AOGNC"/>
    <x v="1"/>
    <n v="4"/>
    <s v="Mission (Mission)"/>
    <s v="Space_Seg (Space Segment)"/>
    <x v="2"/>
    <x v="35"/>
    <m/>
  </r>
  <r>
    <s v="Mission.Space_Seg.Spacecraft.RW_1"/>
    <m/>
    <x v="29"/>
    <m/>
    <s v="\Mission.Space_Seg.Spacecraft.RW_1\p_0\\default"/>
    <n v="4"/>
    <m/>
    <m/>
    <s v="kg·m/s"/>
    <s v="AOGNC"/>
    <m/>
    <s v="AOGNC"/>
    <x v="1"/>
    <n v="4"/>
    <s v="Mission (Mission)"/>
    <s v="Space_Seg (Space Segment)"/>
    <x v="2"/>
    <x v="35"/>
    <m/>
  </r>
  <r>
    <s v="Mission.Space_Seg.Spacecraft.RW_1"/>
    <m/>
    <x v="6"/>
    <s v="LAU"/>
    <s v="\Mission.Space_Seg.Spacecraft.RW_1\P_duty_cyc\LAU\default"/>
    <n v="-1"/>
    <m/>
    <m/>
    <s v="-"/>
    <s v="AOGNC"/>
    <m/>
    <s v="AOGNC"/>
    <x v="1"/>
    <n v="4"/>
    <s v="Mission (Mission)"/>
    <s v="Space_Seg (Space Segment)"/>
    <x v="2"/>
    <x v="35"/>
    <m/>
  </r>
  <r>
    <s v="Mission.Space_Seg.Spacecraft.RW_1"/>
    <m/>
    <x v="6"/>
    <s v="SAF"/>
    <s v="\Mission.Space_Seg.Spacecraft.RW_1\P_duty_cyc\SAF\default"/>
    <n v="-1"/>
    <m/>
    <m/>
    <s v="-"/>
    <s v="AOGNC"/>
    <m/>
    <s v="AOGNC"/>
    <x v="1"/>
    <n v="4"/>
    <s v="Mission (Mission)"/>
    <s v="Space_Seg (Space Segment)"/>
    <x v="2"/>
    <x v="35"/>
    <m/>
  </r>
  <r>
    <s v="Mission.Space_Seg.Spacecraft.RW_1"/>
    <m/>
    <x v="6"/>
    <s v="OBS"/>
    <s v="\Mission.Space_Seg.Spacecraft.RW_1\P_duty_cyc\OBS\default"/>
    <n v="1"/>
    <m/>
    <m/>
    <s v="-"/>
    <s v="AOGNC"/>
    <m/>
    <s v="AOGNC"/>
    <x v="1"/>
    <n v="4"/>
    <s v="Mission (Mission)"/>
    <s v="Space_Seg (Space Segment)"/>
    <x v="2"/>
    <x v="35"/>
    <m/>
  </r>
  <r>
    <s v="Mission.Space_Seg.Spacecraft.RW_1"/>
    <m/>
    <x v="6"/>
    <s v="COM"/>
    <s v="\Mission.Space_Seg.Spacecraft.RW_1\P_duty_cyc\COM\default"/>
    <n v="1"/>
    <m/>
    <m/>
    <s v="-"/>
    <s v="AOGNC"/>
    <m/>
    <s v="AOGNC"/>
    <x v="1"/>
    <n v="4"/>
    <s v="Mission (Mission)"/>
    <s v="Space_Seg (Space Segment)"/>
    <x v="2"/>
    <x v="35"/>
    <m/>
  </r>
  <r>
    <s v="Mission.Space_Seg.Spacecraft.RW_1"/>
    <m/>
    <x v="6"/>
    <s v="INJ"/>
    <s v="\Mission.Space_Seg.Spacecraft.RW_1\P_duty_cyc\INJ\default"/>
    <n v="1"/>
    <m/>
    <m/>
    <s v="-"/>
    <s v="AOGNC"/>
    <m/>
    <s v="AOGNC"/>
    <x v="1"/>
    <n v="4"/>
    <s v="Mission (Mission)"/>
    <s v="Space_Seg (Space Segment)"/>
    <x v="2"/>
    <x v="35"/>
    <m/>
  </r>
  <r>
    <s v="Mission.Space_Seg.Spacecraft.RW_1"/>
    <m/>
    <x v="6"/>
    <s v="CRU"/>
    <s v="\Mission.Space_Seg.Spacecraft.RW_1\P_duty_cyc\CRU\default"/>
    <n v="1"/>
    <m/>
    <m/>
    <s v="-"/>
    <s v="AOGNC"/>
    <m/>
    <s v="AOGNC"/>
    <x v="1"/>
    <n v="4"/>
    <s v="Mission (Mission)"/>
    <s v="Space_Seg (Space Segment)"/>
    <x v="2"/>
    <x v="35"/>
    <m/>
  </r>
  <r>
    <s v="Mission.Space_Seg.Spacecraft.RW_1"/>
    <m/>
    <x v="6"/>
    <s v="DEO"/>
    <s v="\Mission.Space_Seg.Spacecraft.RW_1\P_duty_cyc\DEO\default"/>
    <n v="1"/>
    <m/>
    <m/>
    <s v="-"/>
    <s v="AOGNC"/>
    <m/>
    <s v="AOGNC"/>
    <x v="1"/>
    <n v="4"/>
    <s v="Mission (Mission)"/>
    <s v="Space_Seg (Space Segment)"/>
    <x v="2"/>
    <x v="35"/>
    <m/>
  </r>
  <r>
    <s v="Mission.Space_Seg.Spacecraft.RW_1"/>
    <m/>
    <x v="7"/>
    <m/>
    <s v="\Mission.Space_Seg.Spacecraft.RW_1\redundancy.scheme\\default"/>
    <s v="-"/>
    <m/>
    <m/>
    <m/>
    <s v="AOGNC"/>
    <m/>
    <s v="AOGNC"/>
    <x v="1"/>
    <n v="4"/>
    <s v="Mission (Mission)"/>
    <s v="Space_Seg (Space Segment)"/>
    <x v="2"/>
    <x v="35"/>
    <m/>
  </r>
  <r>
    <s v="Mission.Space_Seg.Spacecraft.RW_1"/>
    <m/>
    <x v="8"/>
    <m/>
    <s v="\Mission.Space_Seg.Spacecraft.RW_1\redundancy.type\\default"/>
    <s v="-"/>
    <m/>
    <m/>
    <m/>
    <s v="AOGNC"/>
    <m/>
    <s v="AOGNC"/>
    <x v="1"/>
    <n v="4"/>
    <s v="Mission (Mission)"/>
    <s v="Space_Seg (Space Segment)"/>
    <x v="2"/>
    <x v="35"/>
    <m/>
  </r>
  <r>
    <s v="Mission.Space_Seg.Spacecraft.RW_1"/>
    <m/>
    <x v="9"/>
    <m/>
    <s v="\Mission.Space_Seg.Spacecraft.RW_1\redundancy.k\\default"/>
    <n v="1"/>
    <m/>
    <m/>
    <m/>
    <s v="AOGNC"/>
    <m/>
    <s v="AOGNC"/>
    <x v="1"/>
    <n v="4"/>
    <s v="Mission (Mission)"/>
    <s v="Space_Seg (Space Segment)"/>
    <x v="2"/>
    <x v="35"/>
    <m/>
  </r>
  <r>
    <s v="Mission.Space_Seg.Spacecraft.RW_1"/>
    <m/>
    <x v="10"/>
    <m/>
    <s v="\Mission.Space_Seg.Spacecraft.RW_1\redundancy.n\\default"/>
    <n v="4"/>
    <m/>
    <m/>
    <m/>
    <s v="AOGNC"/>
    <m/>
    <s v="AOGNC"/>
    <x v="1"/>
    <n v="4"/>
    <s v="Mission (Mission)"/>
    <s v="Space_Seg (Space Segment)"/>
    <x v="2"/>
    <x v="35"/>
    <m/>
  </r>
  <r>
    <s v="Mission.Space_Seg.Spacecraft.RW_1"/>
    <m/>
    <x v="11"/>
    <m/>
    <s v="\Mission.Space_Seg.Spacecraft.RW_1\Temp_oper_max\\default"/>
    <n v="50"/>
    <m/>
    <m/>
    <s v="°C"/>
    <s v="AOGNC"/>
    <m/>
    <s v="AOGNC"/>
    <x v="1"/>
    <n v="4"/>
    <s v="Mission (Mission)"/>
    <s v="Space_Seg (Space Segment)"/>
    <x v="2"/>
    <x v="35"/>
    <m/>
  </r>
  <r>
    <s v="Mission.Space_Seg.Spacecraft.RW_1"/>
    <m/>
    <x v="12"/>
    <m/>
    <s v="\Mission.Space_Seg.Spacecraft.RW_1\Temp_oper_min\\default"/>
    <n v="-20"/>
    <m/>
    <m/>
    <s v="°C"/>
    <s v="AOGNC"/>
    <m/>
    <s v="AOGNC"/>
    <x v="1"/>
    <n v="4"/>
    <s v="Mission (Mission)"/>
    <s v="Space_Seg (Space Segment)"/>
    <x v="2"/>
    <x v="35"/>
    <m/>
  </r>
  <r>
    <s v="Mission.Space_Seg.Spacecraft.RW_1"/>
    <m/>
    <x v="30"/>
    <m/>
    <s v="\Mission.Space_Seg.Spacecraft.RW_1\torq\\default"/>
    <n v="0.3"/>
    <m/>
    <m/>
    <s v="N·m"/>
    <s v="AOGNC"/>
    <m/>
    <s v="AOGNC"/>
    <x v="1"/>
    <n v="4"/>
    <s v="Mission (Mission)"/>
    <s v="Space_Seg (Space Segment)"/>
    <x v="2"/>
    <x v="35"/>
    <m/>
  </r>
  <r>
    <s v="Mission.Space_Seg.Spacecraft.RW_1"/>
    <m/>
    <x v="13"/>
    <m/>
    <s v="\Mission.Space_Seg.Spacecraft.RW_1\TRL\\default"/>
    <n v="9"/>
    <m/>
    <m/>
    <m/>
    <s v="AOGNC"/>
    <m/>
    <s v="AOGNC"/>
    <x v="1"/>
    <n v="4"/>
    <s v="Mission (Mission)"/>
    <s v="Space_Seg (Space Segment)"/>
    <x v="2"/>
    <x v="35"/>
    <m/>
  </r>
  <r>
    <s v="Mission.Space_Seg.Spacecraft.RW_1"/>
    <s v="Dimensions"/>
    <x v="14"/>
    <m/>
    <s v="\Mission.Space_Seg.Spacecraft.RW_1\wid\\default"/>
    <n v="0.17"/>
    <m/>
    <m/>
    <s v="m"/>
    <s v="AOGNC"/>
    <m/>
    <s v="AOGNC"/>
    <x v="1"/>
    <n v="4"/>
    <s v="Mission (Mission)"/>
    <s v="Space_Seg (Space Segment)"/>
    <x v="2"/>
    <x v="35"/>
    <m/>
  </r>
  <r>
    <s v="Mission.Space_Seg.Spacecraft.RW_2"/>
    <m/>
    <x v="0"/>
    <m/>
    <s v="\Mission.Space_Seg.Spacecraft.RW_2\_name_\\default"/>
    <s v="Reaction Wheel #2"/>
    <m/>
    <m/>
    <m/>
    <s v="AOGNC"/>
    <m/>
    <s v="AOGNC"/>
    <x v="0"/>
    <n v="4"/>
    <s v="Mission (Mission)"/>
    <s v="Space_Seg (Space Segment)"/>
    <x v="2"/>
    <x v="36"/>
    <m/>
  </r>
  <r>
    <s v="Mission.Space_Seg.Spacecraft.RW_2"/>
    <s v="Dimensions"/>
    <x v="1"/>
    <m/>
    <s v="\Mission.Space_Seg.Spacecraft.RW_2\diam\\default"/>
    <s v="-"/>
    <m/>
    <m/>
    <s v="m"/>
    <s v="AOGNC"/>
    <m/>
    <s v="AOGNC"/>
    <x v="1"/>
    <n v="4"/>
    <s v="Mission (Mission)"/>
    <s v="Space_Seg (Space Segment)"/>
    <x v="2"/>
    <x v="36"/>
    <m/>
  </r>
  <r>
    <s v="Mission.Space_Seg.Spacecraft.RW_2"/>
    <s v="Dimensions"/>
    <x v="2"/>
    <m/>
    <s v="\Mission.Space_Seg.Spacecraft.RW_2\height\\default"/>
    <n v="7.0000000000000007E-2"/>
    <m/>
    <m/>
    <s v="m"/>
    <s v="AOGNC"/>
    <m/>
    <s v="AOGNC"/>
    <x v="1"/>
    <n v="4"/>
    <s v="Mission (Mission)"/>
    <s v="Space_Seg (Space Segment)"/>
    <x v="2"/>
    <x v="36"/>
    <m/>
  </r>
  <r>
    <s v="Mission.Space_Seg.Spacecraft.RW_2"/>
    <s v="Dimensions"/>
    <x v="3"/>
    <m/>
    <s v="\Mission.Space_Seg.Spacecraft.RW_2\len\\default"/>
    <n v="0.17"/>
    <m/>
    <m/>
    <s v="m"/>
    <s v="AOGNC"/>
    <m/>
    <s v="AOGNC"/>
    <x v="1"/>
    <n v="4"/>
    <s v="Mission (Mission)"/>
    <s v="Space_Seg (Space Segment)"/>
    <x v="2"/>
    <x v="36"/>
    <m/>
  </r>
  <r>
    <s v="Mission.Space_Seg.Spacecraft.RW_2"/>
    <m/>
    <x v="4"/>
    <m/>
    <s v="\Mission.Space_Seg.Spacecraft.RW_2\m\\default"/>
    <n v="3"/>
    <n v="5"/>
    <n v="0.15"/>
    <s v="kg"/>
    <s v="AOGNC"/>
    <m/>
    <s v="AOGNC"/>
    <x v="1"/>
    <n v="4"/>
    <s v="Mission (Mission)"/>
    <s v="Space_Seg (Space Segment)"/>
    <x v="2"/>
    <x v="36"/>
    <m/>
  </r>
  <r>
    <s v="Mission.Space_Seg.Spacecraft.RW_2"/>
    <m/>
    <x v="5"/>
    <m/>
    <s v="\Mission.Space_Seg.Spacecraft.RW_2\P\\default"/>
    <n v="10"/>
    <m/>
    <m/>
    <s v="W"/>
    <s v="AOGNC"/>
    <m/>
    <s v="AOGNC"/>
    <x v="1"/>
    <n v="4"/>
    <s v="Mission (Mission)"/>
    <s v="Space_Seg (Space Segment)"/>
    <x v="2"/>
    <x v="36"/>
    <m/>
  </r>
  <r>
    <s v="Mission.Space_Seg.Spacecraft.RW_2"/>
    <m/>
    <x v="29"/>
    <m/>
    <s v="\Mission.Space_Seg.Spacecraft.RW_2\p_0\\default"/>
    <n v="4"/>
    <m/>
    <m/>
    <s v="kg·m/s"/>
    <s v="AOGNC"/>
    <m/>
    <s v="AOGNC"/>
    <x v="1"/>
    <n v="4"/>
    <s v="Mission (Mission)"/>
    <s v="Space_Seg (Space Segment)"/>
    <x v="2"/>
    <x v="36"/>
    <m/>
  </r>
  <r>
    <s v="Mission.Space_Seg.Spacecraft.RW_2"/>
    <m/>
    <x v="6"/>
    <s v="LAU"/>
    <s v="\Mission.Space_Seg.Spacecraft.RW_2\P_duty_cyc\LAU\default"/>
    <n v="-1"/>
    <m/>
    <m/>
    <s v="-"/>
    <s v="AOGNC"/>
    <m/>
    <s v="AOGNC"/>
    <x v="1"/>
    <n v="4"/>
    <s v="Mission (Mission)"/>
    <s v="Space_Seg (Space Segment)"/>
    <x v="2"/>
    <x v="36"/>
    <m/>
  </r>
  <r>
    <s v="Mission.Space_Seg.Spacecraft.RW_2"/>
    <m/>
    <x v="6"/>
    <s v="SAF"/>
    <s v="\Mission.Space_Seg.Spacecraft.RW_2\P_duty_cyc\SAF\default"/>
    <n v="-1"/>
    <m/>
    <m/>
    <s v="-"/>
    <s v="AOGNC"/>
    <m/>
    <s v="AOGNC"/>
    <x v="1"/>
    <n v="4"/>
    <s v="Mission (Mission)"/>
    <s v="Space_Seg (Space Segment)"/>
    <x v="2"/>
    <x v="36"/>
    <m/>
  </r>
  <r>
    <s v="Mission.Space_Seg.Spacecraft.RW_2"/>
    <m/>
    <x v="6"/>
    <s v="OBS"/>
    <s v="\Mission.Space_Seg.Spacecraft.RW_2\P_duty_cyc\OBS\default"/>
    <n v="1"/>
    <m/>
    <m/>
    <s v="-"/>
    <s v="AOGNC"/>
    <m/>
    <s v="AOGNC"/>
    <x v="1"/>
    <n v="4"/>
    <s v="Mission (Mission)"/>
    <s v="Space_Seg (Space Segment)"/>
    <x v="2"/>
    <x v="36"/>
    <m/>
  </r>
  <r>
    <s v="Mission.Space_Seg.Spacecraft.RW_2"/>
    <m/>
    <x v="6"/>
    <s v="COM"/>
    <s v="\Mission.Space_Seg.Spacecraft.RW_2\P_duty_cyc\COM\default"/>
    <n v="1"/>
    <m/>
    <m/>
    <s v="-"/>
    <s v="AOGNC"/>
    <m/>
    <s v="AOGNC"/>
    <x v="1"/>
    <n v="4"/>
    <s v="Mission (Mission)"/>
    <s v="Space_Seg (Space Segment)"/>
    <x v="2"/>
    <x v="36"/>
    <m/>
  </r>
  <r>
    <s v="Mission.Space_Seg.Spacecraft.RW_2"/>
    <m/>
    <x v="6"/>
    <s v="INJ"/>
    <s v="\Mission.Space_Seg.Spacecraft.RW_2\P_duty_cyc\INJ\default"/>
    <n v="1"/>
    <m/>
    <m/>
    <s v="-"/>
    <s v="AOGNC"/>
    <m/>
    <s v="AOGNC"/>
    <x v="1"/>
    <n v="4"/>
    <s v="Mission (Mission)"/>
    <s v="Space_Seg (Space Segment)"/>
    <x v="2"/>
    <x v="36"/>
    <m/>
  </r>
  <r>
    <s v="Mission.Space_Seg.Spacecraft.RW_2"/>
    <m/>
    <x v="6"/>
    <s v="CRU"/>
    <s v="\Mission.Space_Seg.Spacecraft.RW_2\P_duty_cyc\CRU\default"/>
    <n v="1"/>
    <m/>
    <m/>
    <s v="-"/>
    <s v="AOGNC"/>
    <m/>
    <s v="AOGNC"/>
    <x v="1"/>
    <n v="4"/>
    <s v="Mission (Mission)"/>
    <s v="Space_Seg (Space Segment)"/>
    <x v="2"/>
    <x v="36"/>
    <m/>
  </r>
  <r>
    <s v="Mission.Space_Seg.Spacecraft.RW_2"/>
    <m/>
    <x v="6"/>
    <s v="DEO"/>
    <s v="\Mission.Space_Seg.Spacecraft.RW_2\P_duty_cyc\DEO\default"/>
    <n v="1"/>
    <m/>
    <m/>
    <s v="-"/>
    <s v="AOGNC"/>
    <m/>
    <s v="AOGNC"/>
    <x v="1"/>
    <n v="4"/>
    <s v="Mission (Mission)"/>
    <s v="Space_Seg (Space Segment)"/>
    <x v="2"/>
    <x v="36"/>
    <m/>
  </r>
  <r>
    <s v="Mission.Space_Seg.Spacecraft.RW_2"/>
    <m/>
    <x v="7"/>
    <m/>
    <s v="\Mission.Space_Seg.Spacecraft.RW_2\redundancy.scheme\\default"/>
    <s v="-"/>
    <m/>
    <m/>
    <m/>
    <s v="AOGNC"/>
    <m/>
    <s v="AOGNC"/>
    <x v="1"/>
    <n v="4"/>
    <s v="Mission (Mission)"/>
    <s v="Space_Seg (Space Segment)"/>
    <x v="2"/>
    <x v="36"/>
    <m/>
  </r>
  <r>
    <s v="Mission.Space_Seg.Spacecraft.RW_2"/>
    <m/>
    <x v="8"/>
    <m/>
    <s v="\Mission.Space_Seg.Spacecraft.RW_2\redundancy.type\\default"/>
    <s v="-"/>
    <m/>
    <m/>
    <m/>
    <s v="AOGNC"/>
    <m/>
    <s v="AOGNC"/>
    <x v="1"/>
    <n v="4"/>
    <s v="Mission (Mission)"/>
    <s v="Space_Seg (Space Segment)"/>
    <x v="2"/>
    <x v="36"/>
    <m/>
  </r>
  <r>
    <s v="Mission.Space_Seg.Spacecraft.RW_2"/>
    <m/>
    <x v="9"/>
    <m/>
    <s v="\Mission.Space_Seg.Spacecraft.RW_2\redundancy.k\\default"/>
    <n v="1"/>
    <m/>
    <m/>
    <m/>
    <s v="AOGNC"/>
    <m/>
    <s v="AOGNC"/>
    <x v="1"/>
    <n v="4"/>
    <s v="Mission (Mission)"/>
    <s v="Space_Seg (Space Segment)"/>
    <x v="2"/>
    <x v="36"/>
    <m/>
  </r>
  <r>
    <s v="Mission.Space_Seg.Spacecraft.RW_2"/>
    <m/>
    <x v="10"/>
    <m/>
    <s v="\Mission.Space_Seg.Spacecraft.RW_2\redundancy.n\\default"/>
    <n v="4"/>
    <m/>
    <m/>
    <m/>
    <s v="AOGNC"/>
    <m/>
    <s v="AOGNC"/>
    <x v="1"/>
    <n v="4"/>
    <s v="Mission (Mission)"/>
    <s v="Space_Seg (Space Segment)"/>
    <x v="2"/>
    <x v="36"/>
    <m/>
  </r>
  <r>
    <s v="Mission.Space_Seg.Spacecraft.RW_2"/>
    <m/>
    <x v="11"/>
    <m/>
    <s v="\Mission.Space_Seg.Spacecraft.RW_2\Temp_oper_max\\default"/>
    <n v="50"/>
    <m/>
    <m/>
    <s v="°C"/>
    <s v="AOGNC"/>
    <m/>
    <s v="AOGNC"/>
    <x v="1"/>
    <n v="4"/>
    <s v="Mission (Mission)"/>
    <s v="Space_Seg (Space Segment)"/>
    <x v="2"/>
    <x v="36"/>
    <m/>
  </r>
  <r>
    <s v="Mission.Space_Seg.Spacecraft.RW_2"/>
    <m/>
    <x v="12"/>
    <m/>
    <s v="\Mission.Space_Seg.Spacecraft.RW_2\Temp_oper_min\\default"/>
    <n v="-20"/>
    <m/>
    <m/>
    <s v="°C"/>
    <s v="AOGNC"/>
    <m/>
    <s v="AOGNC"/>
    <x v="1"/>
    <n v="4"/>
    <s v="Mission (Mission)"/>
    <s v="Space_Seg (Space Segment)"/>
    <x v="2"/>
    <x v="36"/>
    <m/>
  </r>
  <r>
    <s v="Mission.Space_Seg.Spacecraft.RW_2"/>
    <m/>
    <x v="30"/>
    <m/>
    <s v="\Mission.Space_Seg.Spacecraft.RW_2\torq\\default"/>
    <n v="0.3"/>
    <m/>
    <m/>
    <s v="N·m"/>
    <s v="AOGNC"/>
    <m/>
    <s v="AOGNC"/>
    <x v="1"/>
    <n v="4"/>
    <s v="Mission (Mission)"/>
    <s v="Space_Seg (Space Segment)"/>
    <x v="2"/>
    <x v="36"/>
    <m/>
  </r>
  <r>
    <s v="Mission.Space_Seg.Spacecraft.RW_2"/>
    <m/>
    <x v="13"/>
    <m/>
    <s v="\Mission.Space_Seg.Spacecraft.RW_2\TRL\\default"/>
    <n v="9"/>
    <m/>
    <m/>
    <m/>
    <s v="AOGNC"/>
    <m/>
    <s v="AOGNC"/>
    <x v="1"/>
    <n v="4"/>
    <s v="Mission (Mission)"/>
    <s v="Space_Seg (Space Segment)"/>
    <x v="2"/>
    <x v="36"/>
    <m/>
  </r>
  <r>
    <s v="Mission.Space_Seg.Spacecraft.RW_2"/>
    <s v="Dimensions"/>
    <x v="14"/>
    <m/>
    <s v="\Mission.Space_Seg.Spacecraft.RW_2\wid\\default"/>
    <n v="0.17"/>
    <m/>
    <m/>
    <s v="m"/>
    <s v="AOGNC"/>
    <m/>
    <s v="AOGNC"/>
    <x v="1"/>
    <n v="4"/>
    <s v="Mission (Mission)"/>
    <s v="Space_Seg (Space Segment)"/>
    <x v="2"/>
    <x v="36"/>
    <m/>
  </r>
  <r>
    <s v="Mission.Space_Seg.Spacecraft.RW_3"/>
    <m/>
    <x v="0"/>
    <m/>
    <s v="\Mission.Space_Seg.Spacecraft.RW_3\_name_\\default"/>
    <s v="Reaction Wheel #3"/>
    <m/>
    <m/>
    <m/>
    <s v="AOGNC"/>
    <m/>
    <s v="AOGNC"/>
    <x v="0"/>
    <n v="4"/>
    <s v="Mission (Mission)"/>
    <s v="Space_Seg (Space Segment)"/>
    <x v="2"/>
    <x v="37"/>
    <m/>
  </r>
  <r>
    <s v="Mission.Space_Seg.Spacecraft.RW_3"/>
    <s v="Dimensions"/>
    <x v="1"/>
    <m/>
    <s v="\Mission.Space_Seg.Spacecraft.RW_3\diam\\default"/>
    <s v="-"/>
    <m/>
    <m/>
    <s v="m"/>
    <s v="AOGNC"/>
    <m/>
    <s v="AOGNC"/>
    <x v="1"/>
    <n v="4"/>
    <s v="Mission (Mission)"/>
    <s v="Space_Seg (Space Segment)"/>
    <x v="2"/>
    <x v="37"/>
    <m/>
  </r>
  <r>
    <s v="Mission.Space_Seg.Spacecraft.RW_3"/>
    <s v="Dimensions"/>
    <x v="2"/>
    <m/>
    <s v="\Mission.Space_Seg.Spacecraft.RW_3\height\\default"/>
    <n v="7.0000000000000007E-2"/>
    <m/>
    <m/>
    <s v="m"/>
    <s v="AOGNC"/>
    <m/>
    <s v="AOGNC"/>
    <x v="1"/>
    <n v="4"/>
    <s v="Mission (Mission)"/>
    <s v="Space_Seg (Space Segment)"/>
    <x v="2"/>
    <x v="37"/>
    <m/>
  </r>
  <r>
    <s v="Mission.Space_Seg.Spacecraft.RW_3"/>
    <s v="Dimensions"/>
    <x v="3"/>
    <m/>
    <s v="\Mission.Space_Seg.Spacecraft.RW_3\len\\default"/>
    <n v="0.17"/>
    <m/>
    <m/>
    <s v="m"/>
    <s v="AOGNC"/>
    <m/>
    <s v="AOGNC"/>
    <x v="1"/>
    <n v="4"/>
    <s v="Mission (Mission)"/>
    <s v="Space_Seg (Space Segment)"/>
    <x v="2"/>
    <x v="37"/>
    <m/>
  </r>
  <r>
    <s v="Mission.Space_Seg.Spacecraft.RW_3"/>
    <m/>
    <x v="4"/>
    <m/>
    <s v="\Mission.Space_Seg.Spacecraft.RW_3\m\\default"/>
    <n v="3"/>
    <n v="5"/>
    <n v="0.15"/>
    <s v="kg"/>
    <s v="AOGNC"/>
    <m/>
    <s v="AOGNC"/>
    <x v="1"/>
    <n v="4"/>
    <s v="Mission (Mission)"/>
    <s v="Space_Seg (Space Segment)"/>
    <x v="2"/>
    <x v="37"/>
    <m/>
  </r>
  <r>
    <s v="Mission.Space_Seg.Spacecraft.RW_3"/>
    <m/>
    <x v="5"/>
    <m/>
    <s v="\Mission.Space_Seg.Spacecraft.RW_3\P\\default"/>
    <n v="10"/>
    <m/>
    <m/>
    <s v="W"/>
    <s v="AOGNC"/>
    <m/>
    <s v="AOGNC"/>
    <x v="1"/>
    <n v="4"/>
    <s v="Mission (Mission)"/>
    <s v="Space_Seg (Space Segment)"/>
    <x v="2"/>
    <x v="37"/>
    <m/>
  </r>
  <r>
    <s v="Mission.Space_Seg.Spacecraft.RW_3"/>
    <m/>
    <x v="29"/>
    <m/>
    <s v="\Mission.Space_Seg.Spacecraft.RW_3\p_0\\default"/>
    <n v="4"/>
    <m/>
    <m/>
    <s v="kg·m/s"/>
    <s v="AOGNC"/>
    <m/>
    <s v="AOGNC"/>
    <x v="1"/>
    <n v="4"/>
    <s v="Mission (Mission)"/>
    <s v="Space_Seg (Space Segment)"/>
    <x v="2"/>
    <x v="37"/>
    <m/>
  </r>
  <r>
    <s v="Mission.Space_Seg.Spacecraft.RW_3"/>
    <m/>
    <x v="6"/>
    <s v="LAU"/>
    <s v="\Mission.Space_Seg.Spacecraft.RW_3\P_duty_cyc\LAU\default"/>
    <n v="-1"/>
    <m/>
    <m/>
    <s v="-"/>
    <s v="AOGNC"/>
    <m/>
    <s v="AOGNC"/>
    <x v="1"/>
    <n v="4"/>
    <s v="Mission (Mission)"/>
    <s v="Space_Seg (Space Segment)"/>
    <x v="2"/>
    <x v="37"/>
    <m/>
  </r>
  <r>
    <s v="Mission.Space_Seg.Spacecraft.RW_3"/>
    <m/>
    <x v="6"/>
    <s v="SAF"/>
    <s v="\Mission.Space_Seg.Spacecraft.RW_3\P_duty_cyc\SAF\default"/>
    <n v="-1"/>
    <m/>
    <m/>
    <s v="-"/>
    <s v="AOGNC"/>
    <m/>
    <s v="AOGNC"/>
    <x v="1"/>
    <n v="4"/>
    <s v="Mission (Mission)"/>
    <s v="Space_Seg (Space Segment)"/>
    <x v="2"/>
    <x v="37"/>
    <m/>
  </r>
  <r>
    <s v="Mission.Space_Seg.Spacecraft.RW_3"/>
    <m/>
    <x v="6"/>
    <s v="OBS"/>
    <s v="\Mission.Space_Seg.Spacecraft.RW_3\P_duty_cyc\OBS\default"/>
    <n v="1"/>
    <m/>
    <m/>
    <s v="-"/>
    <s v="AOGNC"/>
    <m/>
    <s v="AOGNC"/>
    <x v="1"/>
    <n v="4"/>
    <s v="Mission (Mission)"/>
    <s v="Space_Seg (Space Segment)"/>
    <x v="2"/>
    <x v="37"/>
    <m/>
  </r>
  <r>
    <s v="Mission.Space_Seg.Spacecraft.RW_3"/>
    <m/>
    <x v="6"/>
    <s v="COM"/>
    <s v="\Mission.Space_Seg.Spacecraft.RW_3\P_duty_cyc\COM\default"/>
    <n v="1"/>
    <m/>
    <m/>
    <s v="-"/>
    <s v="AOGNC"/>
    <m/>
    <s v="AOGNC"/>
    <x v="1"/>
    <n v="4"/>
    <s v="Mission (Mission)"/>
    <s v="Space_Seg (Space Segment)"/>
    <x v="2"/>
    <x v="37"/>
    <m/>
  </r>
  <r>
    <s v="Mission.Space_Seg.Spacecraft.RW_3"/>
    <m/>
    <x v="6"/>
    <s v="INJ"/>
    <s v="\Mission.Space_Seg.Spacecraft.RW_3\P_duty_cyc\INJ\default"/>
    <n v="1"/>
    <m/>
    <m/>
    <s v="-"/>
    <s v="AOGNC"/>
    <m/>
    <s v="AOGNC"/>
    <x v="1"/>
    <n v="4"/>
    <s v="Mission (Mission)"/>
    <s v="Space_Seg (Space Segment)"/>
    <x v="2"/>
    <x v="37"/>
    <m/>
  </r>
  <r>
    <s v="Mission.Space_Seg.Spacecraft.RW_3"/>
    <m/>
    <x v="6"/>
    <s v="CRU"/>
    <s v="\Mission.Space_Seg.Spacecraft.RW_3\P_duty_cyc\CRU\default"/>
    <n v="1"/>
    <m/>
    <m/>
    <s v="-"/>
    <s v="AOGNC"/>
    <m/>
    <s v="AOGNC"/>
    <x v="1"/>
    <n v="4"/>
    <s v="Mission (Mission)"/>
    <s v="Space_Seg (Space Segment)"/>
    <x v="2"/>
    <x v="37"/>
    <m/>
  </r>
  <r>
    <s v="Mission.Space_Seg.Spacecraft.RW_3"/>
    <m/>
    <x v="6"/>
    <s v="DEO"/>
    <s v="\Mission.Space_Seg.Spacecraft.RW_3\P_duty_cyc\DEO\default"/>
    <n v="1"/>
    <m/>
    <m/>
    <s v="-"/>
    <s v="AOGNC"/>
    <m/>
    <s v="AOGNC"/>
    <x v="1"/>
    <n v="4"/>
    <s v="Mission (Mission)"/>
    <s v="Space_Seg (Space Segment)"/>
    <x v="2"/>
    <x v="37"/>
    <m/>
  </r>
  <r>
    <s v="Mission.Space_Seg.Spacecraft.RW_3"/>
    <m/>
    <x v="7"/>
    <m/>
    <s v="\Mission.Space_Seg.Spacecraft.RW_3\redundancy.scheme\\default"/>
    <s v="-"/>
    <m/>
    <m/>
    <m/>
    <s v="AOGNC"/>
    <m/>
    <s v="AOGNC"/>
    <x v="1"/>
    <n v="4"/>
    <s v="Mission (Mission)"/>
    <s v="Space_Seg (Space Segment)"/>
    <x v="2"/>
    <x v="37"/>
    <m/>
  </r>
  <r>
    <s v="Mission.Space_Seg.Spacecraft.RW_3"/>
    <m/>
    <x v="8"/>
    <m/>
    <s v="\Mission.Space_Seg.Spacecraft.RW_3\redundancy.type\\default"/>
    <s v="-"/>
    <m/>
    <m/>
    <m/>
    <s v="AOGNC"/>
    <m/>
    <s v="AOGNC"/>
    <x v="1"/>
    <n v="4"/>
    <s v="Mission (Mission)"/>
    <s v="Space_Seg (Space Segment)"/>
    <x v="2"/>
    <x v="37"/>
    <m/>
  </r>
  <r>
    <s v="Mission.Space_Seg.Spacecraft.RW_3"/>
    <m/>
    <x v="9"/>
    <m/>
    <s v="\Mission.Space_Seg.Spacecraft.RW_3\redundancy.k\\default"/>
    <n v="1"/>
    <m/>
    <m/>
    <m/>
    <s v="AOGNC"/>
    <m/>
    <s v="AOGNC"/>
    <x v="1"/>
    <n v="4"/>
    <s v="Mission (Mission)"/>
    <s v="Space_Seg (Space Segment)"/>
    <x v="2"/>
    <x v="37"/>
    <m/>
  </r>
  <r>
    <s v="Mission.Space_Seg.Spacecraft.RW_3"/>
    <m/>
    <x v="10"/>
    <m/>
    <s v="\Mission.Space_Seg.Spacecraft.RW_3\redundancy.n\\default"/>
    <n v="4"/>
    <m/>
    <m/>
    <m/>
    <s v="AOGNC"/>
    <m/>
    <s v="AOGNC"/>
    <x v="1"/>
    <n v="4"/>
    <s v="Mission (Mission)"/>
    <s v="Space_Seg (Space Segment)"/>
    <x v="2"/>
    <x v="37"/>
    <m/>
  </r>
  <r>
    <s v="Mission.Space_Seg.Spacecraft.RW_3"/>
    <m/>
    <x v="11"/>
    <m/>
    <s v="\Mission.Space_Seg.Spacecraft.RW_3\Temp_oper_max\\default"/>
    <n v="50"/>
    <m/>
    <m/>
    <s v="°C"/>
    <s v="AOGNC"/>
    <m/>
    <s v="AOGNC"/>
    <x v="1"/>
    <n v="4"/>
    <s v="Mission (Mission)"/>
    <s v="Space_Seg (Space Segment)"/>
    <x v="2"/>
    <x v="37"/>
    <m/>
  </r>
  <r>
    <s v="Mission.Space_Seg.Spacecraft.RW_3"/>
    <m/>
    <x v="12"/>
    <m/>
    <s v="\Mission.Space_Seg.Spacecraft.RW_3\Temp_oper_min\\default"/>
    <n v="-20"/>
    <m/>
    <m/>
    <s v="°C"/>
    <s v="AOGNC"/>
    <m/>
    <s v="AOGNC"/>
    <x v="1"/>
    <n v="4"/>
    <s v="Mission (Mission)"/>
    <s v="Space_Seg (Space Segment)"/>
    <x v="2"/>
    <x v="37"/>
    <m/>
  </r>
  <r>
    <s v="Mission.Space_Seg.Spacecraft.RW_3"/>
    <m/>
    <x v="30"/>
    <m/>
    <s v="\Mission.Space_Seg.Spacecraft.RW_3\torq\\default"/>
    <n v="0.3"/>
    <m/>
    <m/>
    <s v="N·m"/>
    <s v="AOGNC"/>
    <m/>
    <s v="AOGNC"/>
    <x v="1"/>
    <n v="4"/>
    <s v="Mission (Mission)"/>
    <s v="Space_Seg (Space Segment)"/>
    <x v="2"/>
    <x v="37"/>
    <m/>
  </r>
  <r>
    <s v="Mission.Space_Seg.Spacecraft.RW_3"/>
    <m/>
    <x v="13"/>
    <m/>
    <s v="\Mission.Space_Seg.Spacecraft.RW_3\TRL\\default"/>
    <n v="9"/>
    <m/>
    <m/>
    <m/>
    <s v="AOGNC"/>
    <m/>
    <s v="AOGNC"/>
    <x v="1"/>
    <n v="4"/>
    <s v="Mission (Mission)"/>
    <s v="Space_Seg (Space Segment)"/>
    <x v="2"/>
    <x v="37"/>
    <m/>
  </r>
  <r>
    <s v="Mission.Space_Seg.Spacecraft.RW_3"/>
    <s v="Dimensions"/>
    <x v="14"/>
    <m/>
    <s v="\Mission.Space_Seg.Spacecraft.RW_3\wid\\default"/>
    <n v="0.17"/>
    <m/>
    <m/>
    <s v="m"/>
    <s v="AOGNC"/>
    <m/>
    <s v="AOGNC"/>
    <x v="1"/>
    <n v="4"/>
    <s v="Mission (Mission)"/>
    <s v="Space_Seg (Space Segment)"/>
    <x v="2"/>
    <x v="37"/>
    <m/>
  </r>
  <r>
    <s v="Mission.Space_Seg.Spacecraft.RW_4"/>
    <m/>
    <x v="0"/>
    <m/>
    <s v="\Mission.Space_Seg.Spacecraft.RW_4\_name_\\default"/>
    <s v="Reaction Wheel #4"/>
    <m/>
    <m/>
    <m/>
    <s v="AOGNC"/>
    <m/>
    <s v="AOGNC"/>
    <x v="0"/>
    <n v="4"/>
    <s v="Mission (Mission)"/>
    <s v="Space_Seg (Space Segment)"/>
    <x v="2"/>
    <x v="38"/>
    <m/>
  </r>
  <r>
    <s v="Mission.Space_Seg.Spacecraft.RW_4"/>
    <s v="Dimensions"/>
    <x v="1"/>
    <m/>
    <s v="\Mission.Space_Seg.Spacecraft.RW_4\diam\\default"/>
    <s v="-"/>
    <m/>
    <m/>
    <s v="m"/>
    <s v="AOGNC"/>
    <m/>
    <s v="AOGNC"/>
    <x v="1"/>
    <n v="4"/>
    <s v="Mission (Mission)"/>
    <s v="Space_Seg (Space Segment)"/>
    <x v="2"/>
    <x v="38"/>
    <m/>
  </r>
  <r>
    <s v="Mission.Space_Seg.Spacecraft.RW_4"/>
    <s v="Dimensions"/>
    <x v="2"/>
    <m/>
    <s v="\Mission.Space_Seg.Spacecraft.RW_4\height\\default"/>
    <n v="7.0000000000000007E-2"/>
    <m/>
    <m/>
    <s v="m"/>
    <s v="AOGNC"/>
    <m/>
    <s v="AOGNC"/>
    <x v="1"/>
    <n v="4"/>
    <s v="Mission (Mission)"/>
    <s v="Space_Seg (Space Segment)"/>
    <x v="2"/>
    <x v="38"/>
    <m/>
  </r>
  <r>
    <s v="Mission.Space_Seg.Spacecraft.RW_4"/>
    <s v="Dimensions"/>
    <x v="3"/>
    <m/>
    <s v="\Mission.Space_Seg.Spacecraft.RW_4\len\\default"/>
    <n v="0.17"/>
    <m/>
    <m/>
    <s v="m"/>
    <s v="AOGNC"/>
    <m/>
    <s v="AOGNC"/>
    <x v="1"/>
    <n v="4"/>
    <s v="Mission (Mission)"/>
    <s v="Space_Seg (Space Segment)"/>
    <x v="2"/>
    <x v="38"/>
    <m/>
  </r>
  <r>
    <s v="Mission.Space_Seg.Spacecraft.RW_4"/>
    <m/>
    <x v="4"/>
    <m/>
    <s v="\Mission.Space_Seg.Spacecraft.RW_4\m\\default"/>
    <n v="3"/>
    <n v="5"/>
    <n v="0.15"/>
    <s v="kg"/>
    <s v="AOGNC"/>
    <m/>
    <s v="AOGNC"/>
    <x v="1"/>
    <n v="4"/>
    <s v="Mission (Mission)"/>
    <s v="Space_Seg (Space Segment)"/>
    <x v="2"/>
    <x v="38"/>
    <m/>
  </r>
  <r>
    <s v="Mission.Space_Seg.Spacecraft.RW_4"/>
    <m/>
    <x v="5"/>
    <m/>
    <s v="\Mission.Space_Seg.Spacecraft.RW_4\P\\default"/>
    <n v="10"/>
    <m/>
    <m/>
    <s v="W"/>
    <s v="AOGNC"/>
    <m/>
    <s v="AOGNC"/>
    <x v="1"/>
    <n v="4"/>
    <s v="Mission (Mission)"/>
    <s v="Space_Seg (Space Segment)"/>
    <x v="2"/>
    <x v="38"/>
    <m/>
  </r>
  <r>
    <s v="Mission.Space_Seg.Spacecraft.RW_4"/>
    <m/>
    <x v="29"/>
    <m/>
    <s v="\Mission.Space_Seg.Spacecraft.RW_4\p_0\\default"/>
    <n v="4"/>
    <m/>
    <m/>
    <s v="kg·m/s"/>
    <s v="AOGNC"/>
    <m/>
    <s v="AOGNC"/>
    <x v="1"/>
    <n v="4"/>
    <s v="Mission (Mission)"/>
    <s v="Space_Seg (Space Segment)"/>
    <x v="2"/>
    <x v="38"/>
    <m/>
  </r>
  <r>
    <s v="Mission.Space_Seg.Spacecraft.RW_4"/>
    <m/>
    <x v="6"/>
    <s v="LAU"/>
    <s v="\Mission.Space_Seg.Spacecraft.RW_4\P_duty_cyc\LAU\default"/>
    <n v="-1"/>
    <m/>
    <m/>
    <s v="-"/>
    <s v="AOGNC"/>
    <m/>
    <s v="AOGNC"/>
    <x v="1"/>
    <n v="4"/>
    <s v="Mission (Mission)"/>
    <s v="Space_Seg (Space Segment)"/>
    <x v="2"/>
    <x v="38"/>
    <m/>
  </r>
  <r>
    <s v="Mission.Space_Seg.Spacecraft.RW_4"/>
    <m/>
    <x v="6"/>
    <s v="SAF"/>
    <s v="\Mission.Space_Seg.Spacecraft.RW_4\P_duty_cyc\SAF\default"/>
    <n v="-1"/>
    <m/>
    <m/>
    <s v="-"/>
    <s v="AOGNC"/>
    <m/>
    <s v="AOGNC"/>
    <x v="1"/>
    <n v="4"/>
    <s v="Mission (Mission)"/>
    <s v="Space_Seg (Space Segment)"/>
    <x v="2"/>
    <x v="38"/>
    <m/>
  </r>
  <r>
    <s v="Mission.Space_Seg.Spacecraft.RW_4"/>
    <m/>
    <x v="6"/>
    <s v="OBS"/>
    <s v="\Mission.Space_Seg.Spacecraft.RW_4\P_duty_cyc\OBS\default"/>
    <n v="1"/>
    <m/>
    <m/>
    <s v="-"/>
    <s v="AOGNC"/>
    <m/>
    <s v="AOGNC"/>
    <x v="1"/>
    <n v="4"/>
    <s v="Mission (Mission)"/>
    <s v="Space_Seg (Space Segment)"/>
    <x v="2"/>
    <x v="38"/>
    <m/>
  </r>
  <r>
    <s v="Mission.Space_Seg.Spacecraft.RW_4"/>
    <m/>
    <x v="6"/>
    <s v="COM"/>
    <s v="\Mission.Space_Seg.Spacecraft.RW_4\P_duty_cyc\COM\default"/>
    <n v="1"/>
    <m/>
    <m/>
    <s v="-"/>
    <s v="AOGNC"/>
    <m/>
    <s v="AOGNC"/>
    <x v="1"/>
    <n v="4"/>
    <s v="Mission (Mission)"/>
    <s v="Space_Seg (Space Segment)"/>
    <x v="2"/>
    <x v="38"/>
    <m/>
  </r>
  <r>
    <s v="Mission.Space_Seg.Spacecraft.RW_4"/>
    <m/>
    <x v="6"/>
    <s v="INJ"/>
    <s v="\Mission.Space_Seg.Spacecraft.RW_4\P_duty_cyc\INJ\default"/>
    <n v="1"/>
    <m/>
    <m/>
    <s v="-"/>
    <s v="AOGNC"/>
    <m/>
    <s v="AOGNC"/>
    <x v="1"/>
    <n v="4"/>
    <s v="Mission (Mission)"/>
    <s v="Space_Seg (Space Segment)"/>
    <x v="2"/>
    <x v="38"/>
    <m/>
  </r>
  <r>
    <s v="Mission.Space_Seg.Spacecraft.RW_4"/>
    <m/>
    <x v="6"/>
    <s v="CRU"/>
    <s v="\Mission.Space_Seg.Spacecraft.RW_4\P_duty_cyc\CRU\default"/>
    <n v="1"/>
    <m/>
    <m/>
    <s v="-"/>
    <s v="AOGNC"/>
    <m/>
    <s v="AOGNC"/>
    <x v="1"/>
    <n v="4"/>
    <s v="Mission (Mission)"/>
    <s v="Space_Seg (Space Segment)"/>
    <x v="2"/>
    <x v="38"/>
    <m/>
  </r>
  <r>
    <s v="Mission.Space_Seg.Spacecraft.RW_4"/>
    <m/>
    <x v="6"/>
    <s v="DEO"/>
    <s v="\Mission.Space_Seg.Spacecraft.RW_4\P_duty_cyc\DEO\default"/>
    <n v="1"/>
    <m/>
    <m/>
    <s v="-"/>
    <s v="AOGNC"/>
    <m/>
    <s v="AOGNC"/>
    <x v="1"/>
    <n v="4"/>
    <s v="Mission (Mission)"/>
    <s v="Space_Seg (Space Segment)"/>
    <x v="2"/>
    <x v="38"/>
    <m/>
  </r>
  <r>
    <s v="Mission.Space_Seg.Spacecraft.RW_4"/>
    <m/>
    <x v="7"/>
    <m/>
    <s v="\Mission.Space_Seg.Spacecraft.RW_4\redundancy.scheme\\default"/>
    <s v="-"/>
    <m/>
    <m/>
    <m/>
    <s v="AOGNC"/>
    <m/>
    <s v="AOGNC"/>
    <x v="1"/>
    <n v="4"/>
    <s v="Mission (Mission)"/>
    <s v="Space_Seg (Space Segment)"/>
    <x v="2"/>
    <x v="38"/>
    <m/>
  </r>
  <r>
    <s v="Mission.Space_Seg.Spacecraft.RW_4"/>
    <m/>
    <x v="8"/>
    <m/>
    <s v="\Mission.Space_Seg.Spacecraft.RW_4\redundancy.type\\default"/>
    <s v="-"/>
    <m/>
    <m/>
    <m/>
    <s v="AOGNC"/>
    <m/>
    <s v="AOGNC"/>
    <x v="1"/>
    <n v="4"/>
    <s v="Mission (Mission)"/>
    <s v="Space_Seg (Space Segment)"/>
    <x v="2"/>
    <x v="38"/>
    <m/>
  </r>
  <r>
    <s v="Mission.Space_Seg.Spacecraft.RW_4"/>
    <m/>
    <x v="9"/>
    <m/>
    <s v="\Mission.Space_Seg.Spacecraft.RW_4\redundancy.k\\default"/>
    <n v="1"/>
    <m/>
    <m/>
    <m/>
    <s v="AOGNC"/>
    <m/>
    <s v="AOGNC"/>
    <x v="1"/>
    <n v="4"/>
    <s v="Mission (Mission)"/>
    <s v="Space_Seg (Space Segment)"/>
    <x v="2"/>
    <x v="38"/>
    <m/>
  </r>
  <r>
    <s v="Mission.Space_Seg.Spacecraft.RW_4"/>
    <m/>
    <x v="10"/>
    <m/>
    <s v="\Mission.Space_Seg.Spacecraft.RW_4\redundancy.n\\default"/>
    <n v="4"/>
    <m/>
    <m/>
    <m/>
    <s v="AOGNC"/>
    <m/>
    <s v="AOGNC"/>
    <x v="1"/>
    <n v="4"/>
    <s v="Mission (Mission)"/>
    <s v="Space_Seg (Space Segment)"/>
    <x v="2"/>
    <x v="38"/>
    <m/>
  </r>
  <r>
    <s v="Mission.Space_Seg.Spacecraft.RW_4"/>
    <m/>
    <x v="11"/>
    <m/>
    <s v="\Mission.Space_Seg.Spacecraft.RW_4\Temp_oper_max\\default"/>
    <n v="50"/>
    <m/>
    <m/>
    <s v="°C"/>
    <s v="AOGNC"/>
    <m/>
    <s v="AOGNC"/>
    <x v="1"/>
    <n v="4"/>
    <s v="Mission (Mission)"/>
    <s v="Space_Seg (Space Segment)"/>
    <x v="2"/>
    <x v="38"/>
    <m/>
  </r>
  <r>
    <s v="Mission.Space_Seg.Spacecraft.RW_4"/>
    <m/>
    <x v="12"/>
    <m/>
    <s v="\Mission.Space_Seg.Spacecraft.RW_4\Temp_oper_min\\default"/>
    <n v="-20"/>
    <m/>
    <m/>
    <s v="°C"/>
    <s v="AOGNC"/>
    <m/>
    <s v="AOGNC"/>
    <x v="1"/>
    <n v="4"/>
    <s v="Mission (Mission)"/>
    <s v="Space_Seg (Space Segment)"/>
    <x v="2"/>
    <x v="38"/>
    <m/>
  </r>
  <r>
    <s v="Mission.Space_Seg.Spacecraft.RW_4"/>
    <m/>
    <x v="30"/>
    <m/>
    <s v="\Mission.Space_Seg.Spacecraft.RW_4\torq\\default"/>
    <n v="0.3"/>
    <m/>
    <m/>
    <s v="N·m"/>
    <s v="AOGNC"/>
    <m/>
    <s v="AOGNC"/>
    <x v="1"/>
    <n v="4"/>
    <s v="Mission (Mission)"/>
    <s v="Space_Seg (Space Segment)"/>
    <x v="2"/>
    <x v="38"/>
    <m/>
  </r>
  <r>
    <s v="Mission.Space_Seg.Spacecraft.RW_4"/>
    <m/>
    <x v="13"/>
    <m/>
    <s v="\Mission.Space_Seg.Spacecraft.RW_4\TRL\\default"/>
    <n v="9"/>
    <m/>
    <m/>
    <m/>
    <s v="AOGNC"/>
    <m/>
    <s v="AOGNC"/>
    <x v="1"/>
    <n v="4"/>
    <s v="Mission (Mission)"/>
    <s v="Space_Seg (Space Segment)"/>
    <x v="2"/>
    <x v="38"/>
    <m/>
  </r>
  <r>
    <s v="Mission.Space_Seg.Spacecraft.RW_4"/>
    <s v="Dimensions"/>
    <x v="14"/>
    <m/>
    <s v="\Mission.Space_Seg.Spacecraft.RW_4\wid\\default"/>
    <n v="0.17"/>
    <m/>
    <m/>
    <s v="m"/>
    <s v="AOGNC"/>
    <m/>
    <s v="AOGNC"/>
    <x v="1"/>
    <n v="4"/>
    <s v="Mission (Mission)"/>
    <s v="Space_Seg (Space Segment)"/>
    <x v="2"/>
    <x v="38"/>
    <m/>
  </r>
  <r>
    <s v="Mission.Space_Seg.Spacecraft.sol_pan_1"/>
    <m/>
    <x v="0"/>
    <m/>
    <s v="\Mission.Space_Seg.Spacecraft.sol_pan_1\_name_\\default"/>
    <s v="Solar Panel #1"/>
    <m/>
    <m/>
    <m/>
    <s v="PWR"/>
    <m/>
    <s v="PWR"/>
    <x v="0"/>
    <n v="4"/>
    <s v="Mission (Mission)"/>
    <s v="Space_Seg (Space Segment)"/>
    <x v="2"/>
    <x v="39"/>
    <m/>
  </r>
  <r>
    <s v="Mission.Space_Seg.Spacecraft.sol_pan_1"/>
    <s v="Dimensions"/>
    <x v="31"/>
    <m/>
    <s v="\Mission.Space_Seg.Spacecraft.sol_pan_1\area\\default"/>
    <n v="2.5"/>
    <m/>
    <m/>
    <s v="m²"/>
    <s v="PWR"/>
    <m/>
    <s v="PWR"/>
    <x v="1"/>
    <n v="4"/>
    <s v="Mission (Mission)"/>
    <s v="Space_Seg (Space Segment)"/>
    <x v="2"/>
    <x v="39"/>
    <m/>
  </r>
  <r>
    <s v="Mission.Space_Seg.Spacecraft.sol_pan_1"/>
    <s v="Dimensions"/>
    <x v="1"/>
    <m/>
    <s v="\Mission.Space_Seg.Spacecraft.sol_pan_1\diam\\default"/>
    <s v="-"/>
    <m/>
    <m/>
    <s v="m"/>
    <s v="PWR"/>
    <m/>
    <s v="PWR"/>
    <x v="1"/>
    <n v="4"/>
    <s v="Mission (Mission)"/>
    <s v="Space_Seg (Space Segment)"/>
    <x v="2"/>
    <x v="39"/>
    <m/>
  </r>
  <r>
    <s v="Mission.Space_Seg.Spacecraft.sol_pan_1"/>
    <s v="Dimensions"/>
    <x v="2"/>
    <m/>
    <s v="\Mission.Space_Seg.Spacecraft.sol_pan_1\height\\default"/>
    <s v="-"/>
    <m/>
    <m/>
    <s v="m"/>
    <s v="PWR"/>
    <m/>
    <s v="PWR"/>
    <x v="1"/>
    <n v="4"/>
    <s v="Mission (Mission)"/>
    <s v="Space_Seg (Space Segment)"/>
    <x v="2"/>
    <x v="39"/>
    <m/>
  </r>
  <r>
    <s v="Mission.Space_Seg.Spacecraft.sol_pan_1"/>
    <s v="Dimensions"/>
    <x v="3"/>
    <m/>
    <s v="\Mission.Space_Seg.Spacecraft.sol_pan_1\len\\default"/>
    <s v="-"/>
    <m/>
    <m/>
    <s v="m"/>
    <s v="PWR"/>
    <m/>
    <s v="PWR"/>
    <x v="1"/>
    <n v="4"/>
    <s v="Mission (Mission)"/>
    <s v="Space_Seg (Space Segment)"/>
    <x v="2"/>
    <x v="39"/>
    <m/>
  </r>
  <r>
    <s v="Mission.Space_Seg.Spacecraft.sol_pan_1"/>
    <m/>
    <x v="4"/>
    <m/>
    <s v="\Mission.Space_Seg.Spacecraft.sol_pan_1\m\\default"/>
    <n v="16.2441219366717"/>
    <n v="5"/>
    <n v="0.81220609683358502"/>
    <s v="kg"/>
    <s v="PWR"/>
    <m/>
    <s v="PWR"/>
    <x v="1"/>
    <n v="4"/>
    <s v="Mission (Mission)"/>
    <s v="Space_Seg (Space Segment)"/>
    <x v="2"/>
    <x v="39"/>
    <m/>
  </r>
  <r>
    <s v="Mission.Space_Seg.Spacecraft.sol_pan_1"/>
    <m/>
    <x v="5"/>
    <m/>
    <s v="\Mission.Space_Seg.Spacecraft.sol_pan_1\P\\default"/>
    <s v="-"/>
    <m/>
    <m/>
    <s v="W"/>
    <s v="PWR"/>
    <m/>
    <s v="PWR"/>
    <x v="1"/>
    <n v="4"/>
    <s v="Mission (Mission)"/>
    <s v="Space_Seg (Space Segment)"/>
    <x v="2"/>
    <x v="39"/>
    <m/>
  </r>
  <r>
    <s v="Mission.Space_Seg.Spacecraft.sol_pan_1"/>
    <m/>
    <x v="6"/>
    <m/>
    <s v="\Mission.Space_Seg.Spacecraft.sol_pan_1\P_duty_cyc\\default"/>
    <s v="-"/>
    <m/>
    <m/>
    <s v="-"/>
    <s v="PWR"/>
    <m/>
    <s v="PWR"/>
    <x v="1"/>
    <n v="4"/>
    <s v="Mission (Mission)"/>
    <s v="Space_Seg (Space Segment)"/>
    <x v="2"/>
    <x v="39"/>
    <m/>
  </r>
  <r>
    <s v="Mission.Space_Seg.Spacecraft.sol_pan_1"/>
    <m/>
    <x v="7"/>
    <m/>
    <s v="\Mission.Space_Seg.Spacecraft.sol_pan_1\redundancy.scheme\\default"/>
    <s v="-"/>
    <m/>
    <m/>
    <m/>
    <s v="PWR"/>
    <m/>
    <s v="PWR"/>
    <x v="1"/>
    <n v="4"/>
    <s v="Mission (Mission)"/>
    <s v="Space_Seg (Space Segment)"/>
    <x v="2"/>
    <x v="39"/>
    <m/>
  </r>
  <r>
    <s v="Mission.Space_Seg.Spacecraft.sol_pan_1"/>
    <m/>
    <x v="8"/>
    <m/>
    <s v="\Mission.Space_Seg.Spacecraft.sol_pan_1\redundancy.type\\default"/>
    <s v="-"/>
    <m/>
    <m/>
    <m/>
    <s v="PWR"/>
    <m/>
    <s v="PWR"/>
    <x v="1"/>
    <n v="4"/>
    <s v="Mission (Mission)"/>
    <s v="Space_Seg (Space Segment)"/>
    <x v="2"/>
    <x v="39"/>
    <m/>
  </r>
  <r>
    <s v="Mission.Space_Seg.Spacecraft.sol_pan_1"/>
    <m/>
    <x v="9"/>
    <m/>
    <s v="\Mission.Space_Seg.Spacecraft.sol_pan_1\redundancy.k\\default"/>
    <s v="-"/>
    <m/>
    <m/>
    <m/>
    <s v="PWR"/>
    <m/>
    <s v="PWR"/>
    <x v="1"/>
    <n v="4"/>
    <s v="Mission (Mission)"/>
    <s v="Space_Seg (Space Segment)"/>
    <x v="2"/>
    <x v="39"/>
    <m/>
  </r>
  <r>
    <s v="Mission.Space_Seg.Spacecraft.sol_pan_1"/>
    <m/>
    <x v="10"/>
    <m/>
    <s v="\Mission.Space_Seg.Spacecraft.sol_pan_1\redundancy.n\\default"/>
    <s v="-"/>
    <m/>
    <m/>
    <m/>
    <s v="PWR"/>
    <m/>
    <s v="PWR"/>
    <x v="1"/>
    <n v="4"/>
    <s v="Mission (Mission)"/>
    <s v="Space_Seg (Space Segment)"/>
    <x v="2"/>
    <x v="39"/>
    <m/>
  </r>
  <r>
    <s v="Mission.Space_Seg.Spacecraft.sol_pan_1"/>
    <m/>
    <x v="11"/>
    <m/>
    <s v="\Mission.Space_Seg.Spacecraft.sol_pan_1\Temp_oper_max\\default"/>
    <s v="-"/>
    <m/>
    <m/>
    <s v="°C"/>
    <s v="PWR"/>
    <m/>
    <s v="PWR"/>
    <x v="1"/>
    <n v="4"/>
    <s v="Mission (Mission)"/>
    <s v="Space_Seg (Space Segment)"/>
    <x v="2"/>
    <x v="39"/>
    <m/>
  </r>
  <r>
    <s v="Mission.Space_Seg.Spacecraft.sol_pan_1"/>
    <m/>
    <x v="12"/>
    <m/>
    <s v="\Mission.Space_Seg.Spacecraft.sol_pan_1\Temp_oper_min\\default"/>
    <s v="-"/>
    <m/>
    <m/>
    <s v="°C"/>
    <s v="PWR"/>
    <m/>
    <s v="PWR"/>
    <x v="1"/>
    <n v="4"/>
    <s v="Mission (Mission)"/>
    <s v="Space_Seg (Space Segment)"/>
    <x v="2"/>
    <x v="39"/>
    <m/>
  </r>
  <r>
    <s v="Mission.Space_Seg.Spacecraft.sol_pan_1"/>
    <m/>
    <x v="13"/>
    <m/>
    <s v="\Mission.Space_Seg.Spacecraft.sol_pan_1\TRL\\default"/>
    <n v="9"/>
    <m/>
    <m/>
    <m/>
    <s v="PWR"/>
    <m/>
    <s v="PWR"/>
    <x v="1"/>
    <n v="4"/>
    <s v="Mission (Mission)"/>
    <s v="Space_Seg (Space Segment)"/>
    <x v="2"/>
    <x v="39"/>
    <m/>
  </r>
  <r>
    <s v="Mission.Space_Seg.Spacecraft.sol_pan_1"/>
    <s v="Dimensions"/>
    <x v="14"/>
    <m/>
    <s v="\Mission.Space_Seg.Spacecraft.sol_pan_1\wid\\default"/>
    <s v="-"/>
    <m/>
    <m/>
    <s v="m"/>
    <s v="PWR"/>
    <m/>
    <s v="PWR"/>
    <x v="1"/>
    <n v="4"/>
    <s v="Mission (Mission)"/>
    <s v="Space_Seg (Space Segment)"/>
    <x v="2"/>
    <x v="39"/>
    <m/>
  </r>
  <r>
    <s v="Mission.Space_Seg.Spacecraft.sol_pan_2"/>
    <m/>
    <x v="0"/>
    <m/>
    <s v="\Mission.Space_Seg.Spacecraft.sol_pan_2\_name_\\default"/>
    <s v="Solar Panel #2"/>
    <m/>
    <m/>
    <m/>
    <s v="PWR"/>
    <m/>
    <s v="PWR"/>
    <x v="0"/>
    <n v="4"/>
    <s v="Mission (Mission)"/>
    <s v="Space_Seg (Space Segment)"/>
    <x v="2"/>
    <x v="40"/>
    <m/>
  </r>
  <r>
    <s v="Mission.Space_Seg.Spacecraft.sol_pan_2"/>
    <s v="Dimensions"/>
    <x v="31"/>
    <m/>
    <s v="\Mission.Space_Seg.Spacecraft.sol_pan_2\area\\default"/>
    <n v="2.5"/>
    <m/>
    <m/>
    <s v="m²"/>
    <s v="PWR"/>
    <m/>
    <s v="PWR"/>
    <x v="1"/>
    <n v="4"/>
    <s v="Mission (Mission)"/>
    <s v="Space_Seg (Space Segment)"/>
    <x v="2"/>
    <x v="40"/>
    <m/>
  </r>
  <r>
    <s v="Mission.Space_Seg.Spacecraft.sol_pan_2"/>
    <s v="Dimensions"/>
    <x v="1"/>
    <m/>
    <s v="\Mission.Space_Seg.Spacecraft.sol_pan_2\diam\\default"/>
    <s v="-"/>
    <m/>
    <m/>
    <s v="m"/>
    <s v="PWR"/>
    <m/>
    <s v="PWR"/>
    <x v="1"/>
    <n v="4"/>
    <s v="Mission (Mission)"/>
    <s v="Space_Seg (Space Segment)"/>
    <x v="2"/>
    <x v="40"/>
    <m/>
  </r>
  <r>
    <s v="Mission.Space_Seg.Spacecraft.sol_pan_2"/>
    <s v="Dimensions"/>
    <x v="2"/>
    <m/>
    <s v="\Mission.Space_Seg.Spacecraft.sol_pan_2\height\\default"/>
    <s v="-"/>
    <m/>
    <m/>
    <s v="m"/>
    <s v="PWR"/>
    <m/>
    <s v="PWR"/>
    <x v="1"/>
    <n v="4"/>
    <s v="Mission (Mission)"/>
    <s v="Space_Seg (Space Segment)"/>
    <x v="2"/>
    <x v="40"/>
    <m/>
  </r>
  <r>
    <s v="Mission.Space_Seg.Spacecraft.sol_pan_2"/>
    <s v="Dimensions"/>
    <x v="3"/>
    <m/>
    <s v="\Mission.Space_Seg.Spacecraft.sol_pan_2\len\\default"/>
    <s v="-"/>
    <m/>
    <m/>
    <s v="m"/>
    <s v="PWR"/>
    <m/>
    <s v="PWR"/>
    <x v="1"/>
    <n v="4"/>
    <s v="Mission (Mission)"/>
    <s v="Space_Seg (Space Segment)"/>
    <x v="2"/>
    <x v="40"/>
    <m/>
  </r>
  <r>
    <s v="Mission.Space_Seg.Spacecraft.sol_pan_2"/>
    <m/>
    <x v="4"/>
    <m/>
    <s v="\Mission.Space_Seg.Spacecraft.sol_pan_2\m\\default"/>
    <n v="16.2441219366717"/>
    <n v="5"/>
    <n v="0.81220609683358502"/>
    <s v="kg"/>
    <s v="PWR"/>
    <m/>
    <s v="PWR"/>
    <x v="1"/>
    <n v="4"/>
    <s v="Mission (Mission)"/>
    <s v="Space_Seg (Space Segment)"/>
    <x v="2"/>
    <x v="40"/>
    <m/>
  </r>
  <r>
    <s v="Mission.Space_Seg.Spacecraft.sol_pan_2"/>
    <m/>
    <x v="5"/>
    <m/>
    <s v="\Mission.Space_Seg.Spacecraft.sol_pan_2\P\\default"/>
    <s v="-"/>
    <m/>
    <m/>
    <s v="W"/>
    <s v="PWR"/>
    <m/>
    <s v="PWR"/>
    <x v="1"/>
    <n v="4"/>
    <s v="Mission (Mission)"/>
    <s v="Space_Seg (Space Segment)"/>
    <x v="2"/>
    <x v="40"/>
    <m/>
  </r>
  <r>
    <s v="Mission.Space_Seg.Spacecraft.sol_pan_2"/>
    <m/>
    <x v="6"/>
    <m/>
    <s v="\Mission.Space_Seg.Spacecraft.sol_pan_2\P_duty_cyc\\default"/>
    <s v="-"/>
    <m/>
    <m/>
    <s v="-"/>
    <s v="PWR"/>
    <m/>
    <s v="PWR"/>
    <x v="1"/>
    <n v="4"/>
    <s v="Mission (Mission)"/>
    <s v="Space_Seg (Space Segment)"/>
    <x v="2"/>
    <x v="40"/>
    <m/>
  </r>
  <r>
    <s v="Mission.Space_Seg.Spacecraft.sol_pan_2"/>
    <m/>
    <x v="7"/>
    <m/>
    <s v="\Mission.Space_Seg.Spacecraft.sol_pan_2\redundancy.scheme\\default"/>
    <s v="-"/>
    <m/>
    <m/>
    <m/>
    <s v="PWR"/>
    <m/>
    <s v="PWR"/>
    <x v="1"/>
    <n v="4"/>
    <s v="Mission (Mission)"/>
    <s v="Space_Seg (Space Segment)"/>
    <x v="2"/>
    <x v="40"/>
    <m/>
  </r>
  <r>
    <s v="Mission.Space_Seg.Spacecraft.sol_pan_2"/>
    <m/>
    <x v="8"/>
    <m/>
    <s v="\Mission.Space_Seg.Spacecraft.sol_pan_2\redundancy.type\\default"/>
    <s v="-"/>
    <m/>
    <m/>
    <m/>
    <s v="PWR"/>
    <m/>
    <s v="PWR"/>
    <x v="1"/>
    <n v="4"/>
    <s v="Mission (Mission)"/>
    <s v="Space_Seg (Space Segment)"/>
    <x v="2"/>
    <x v="40"/>
    <m/>
  </r>
  <r>
    <s v="Mission.Space_Seg.Spacecraft.sol_pan_2"/>
    <m/>
    <x v="9"/>
    <m/>
    <s v="\Mission.Space_Seg.Spacecraft.sol_pan_2\redundancy.k\\default"/>
    <s v="-"/>
    <m/>
    <m/>
    <m/>
    <s v="PWR"/>
    <m/>
    <s v="PWR"/>
    <x v="1"/>
    <n v="4"/>
    <s v="Mission (Mission)"/>
    <s v="Space_Seg (Space Segment)"/>
    <x v="2"/>
    <x v="40"/>
    <m/>
  </r>
  <r>
    <s v="Mission.Space_Seg.Spacecraft.sol_pan_2"/>
    <m/>
    <x v="10"/>
    <m/>
    <s v="\Mission.Space_Seg.Spacecraft.sol_pan_2\redundancy.n\\default"/>
    <s v="-"/>
    <m/>
    <m/>
    <m/>
    <s v="PWR"/>
    <m/>
    <s v="PWR"/>
    <x v="1"/>
    <n v="4"/>
    <s v="Mission (Mission)"/>
    <s v="Space_Seg (Space Segment)"/>
    <x v="2"/>
    <x v="40"/>
    <m/>
  </r>
  <r>
    <s v="Mission.Space_Seg.Spacecraft.sol_pan_2"/>
    <m/>
    <x v="11"/>
    <m/>
    <s v="\Mission.Space_Seg.Spacecraft.sol_pan_2\Temp_oper_max\\default"/>
    <s v="-"/>
    <m/>
    <m/>
    <s v="°C"/>
    <s v="PWR"/>
    <m/>
    <s v="PWR"/>
    <x v="1"/>
    <n v="4"/>
    <s v="Mission (Mission)"/>
    <s v="Space_Seg (Space Segment)"/>
    <x v="2"/>
    <x v="40"/>
    <m/>
  </r>
  <r>
    <s v="Mission.Space_Seg.Spacecraft.sol_pan_2"/>
    <m/>
    <x v="12"/>
    <m/>
    <s v="\Mission.Space_Seg.Spacecraft.sol_pan_2\Temp_oper_min\\default"/>
    <s v="-"/>
    <m/>
    <m/>
    <s v="°C"/>
    <s v="PWR"/>
    <m/>
    <s v="PWR"/>
    <x v="1"/>
    <n v="4"/>
    <s v="Mission (Mission)"/>
    <s v="Space_Seg (Space Segment)"/>
    <x v="2"/>
    <x v="40"/>
    <m/>
  </r>
  <r>
    <s v="Mission.Space_Seg.Spacecraft.sol_pan_2"/>
    <m/>
    <x v="13"/>
    <m/>
    <s v="\Mission.Space_Seg.Spacecraft.sol_pan_2\TRL\\default"/>
    <n v="9"/>
    <m/>
    <m/>
    <m/>
    <s v="PWR"/>
    <m/>
    <s v="PWR"/>
    <x v="1"/>
    <n v="4"/>
    <s v="Mission (Mission)"/>
    <s v="Space_Seg (Space Segment)"/>
    <x v="2"/>
    <x v="40"/>
    <m/>
  </r>
  <r>
    <s v="Mission.Space_Seg.Spacecraft.sol_pan_2"/>
    <s v="Dimensions"/>
    <x v="14"/>
    <m/>
    <s v="\Mission.Space_Seg.Spacecraft.sol_pan_2\wid\\default"/>
    <s v="-"/>
    <m/>
    <m/>
    <s v="m"/>
    <s v="PWR"/>
    <m/>
    <s v="PWR"/>
    <x v="1"/>
    <n v="4"/>
    <s v="Mission (Mission)"/>
    <s v="Space_Seg (Space Segment)"/>
    <x v="2"/>
    <x v="40"/>
    <m/>
  </r>
  <r>
    <s v="Mission.Space_Seg.Spacecraft.Sol_Pan_Dep"/>
    <m/>
    <x v="0"/>
    <m/>
    <s v="\Mission.Space_Seg.Spacecraft.Sol_Pan_Dep\_name_\\default"/>
    <s v="Solar Panel Deployment"/>
    <m/>
    <m/>
    <m/>
    <s v="MEC"/>
    <m/>
    <s v="MEC"/>
    <x v="0"/>
    <n v="4"/>
    <s v="Mission (Mission)"/>
    <s v="Space_Seg (Space Segment)"/>
    <x v="2"/>
    <x v="41"/>
    <m/>
  </r>
  <r>
    <s v="Mission.Space_Seg.Spacecraft.Sol_Pan_Dep"/>
    <s v="Dimensions"/>
    <x v="1"/>
    <m/>
    <s v="\Mission.Space_Seg.Spacecraft.Sol_Pan_Dep\diam\\default"/>
    <n v="0.1016"/>
    <m/>
    <m/>
    <s v="m"/>
    <s v="MEC"/>
    <m/>
    <s v="MEC"/>
    <x v="1"/>
    <n v="4"/>
    <s v="Mission (Mission)"/>
    <s v="Space_Seg (Space Segment)"/>
    <x v="2"/>
    <x v="41"/>
    <m/>
  </r>
  <r>
    <s v="Mission.Space_Seg.Spacecraft.Sol_Pan_Dep"/>
    <s v="Dimensions"/>
    <x v="2"/>
    <m/>
    <s v="\Mission.Space_Seg.Spacecraft.Sol_Pan_Dep\height\\default"/>
    <n v="9.4E-2"/>
    <m/>
    <m/>
    <s v="m"/>
    <s v="MEC"/>
    <m/>
    <s v="MEC"/>
    <x v="1"/>
    <n v="4"/>
    <s v="Mission (Mission)"/>
    <s v="Space_Seg (Space Segment)"/>
    <x v="2"/>
    <x v="41"/>
    <m/>
  </r>
  <r>
    <s v="Mission.Space_Seg.Spacecraft.Sol_Pan_Dep"/>
    <s v="Dimensions"/>
    <x v="3"/>
    <m/>
    <s v="\Mission.Space_Seg.Spacecraft.Sol_Pan_Dep\len\\default"/>
    <s v="-"/>
    <m/>
    <m/>
    <s v="m"/>
    <s v="MEC"/>
    <m/>
    <s v="MEC"/>
    <x v="1"/>
    <n v="4"/>
    <s v="Mission (Mission)"/>
    <s v="Space_Seg (Space Segment)"/>
    <x v="2"/>
    <x v="41"/>
    <m/>
  </r>
  <r>
    <s v="Mission.Space_Seg.Spacecraft.Sol_Pan_Dep"/>
    <m/>
    <x v="4"/>
    <m/>
    <s v="\Mission.Space_Seg.Spacecraft.Sol_Pan_Dep\m\\default"/>
    <n v="0.14000000000000001"/>
    <n v="5"/>
    <n v="7.000000000000001E-3"/>
    <s v="kg"/>
    <s v="MEC"/>
    <m/>
    <s v="MEC"/>
    <x v="1"/>
    <n v="4"/>
    <s v="Mission (Mission)"/>
    <s v="Space_Seg (Space Segment)"/>
    <x v="2"/>
    <x v="41"/>
    <m/>
  </r>
  <r>
    <s v="Mission.Space_Seg.Spacecraft.Sol_Pan_Dep"/>
    <m/>
    <x v="5"/>
    <m/>
    <s v="\Mission.Space_Seg.Spacecraft.Sol_Pan_Dep\P\\default"/>
    <n v="5.0000000000000001E-3"/>
    <m/>
    <m/>
    <s v="W"/>
    <s v="MEC"/>
    <m/>
    <s v="MEC"/>
    <x v="1"/>
    <n v="4"/>
    <s v="Mission (Mission)"/>
    <s v="Space_Seg (Space Segment)"/>
    <x v="2"/>
    <x v="41"/>
    <m/>
  </r>
  <r>
    <s v="Mission.Space_Seg.Spacecraft.Sol_Pan_Dep"/>
    <m/>
    <x v="6"/>
    <s v="LAU"/>
    <s v="\Mission.Space_Seg.Spacecraft.Sol_Pan_Dep\P_duty_cyc\LAU\default"/>
    <n v="-1"/>
    <m/>
    <m/>
    <s v="-"/>
    <s v="MEC"/>
    <m/>
    <s v="MEC"/>
    <x v="1"/>
    <n v="4"/>
    <s v="Mission (Mission)"/>
    <s v="Space_Seg (Space Segment)"/>
    <x v="2"/>
    <x v="41"/>
    <m/>
  </r>
  <r>
    <s v="Mission.Space_Seg.Spacecraft.Sol_Pan_Dep"/>
    <m/>
    <x v="6"/>
    <s v="SAF"/>
    <s v="\Mission.Space_Seg.Spacecraft.Sol_Pan_Dep\P_duty_cyc\SAF\default"/>
    <n v="-1"/>
    <m/>
    <m/>
    <s v="-"/>
    <s v="MEC"/>
    <m/>
    <s v="MEC"/>
    <x v="1"/>
    <n v="4"/>
    <s v="Mission (Mission)"/>
    <s v="Space_Seg (Space Segment)"/>
    <x v="2"/>
    <x v="41"/>
    <m/>
  </r>
  <r>
    <s v="Mission.Space_Seg.Spacecraft.Sol_Pan_Dep"/>
    <m/>
    <x v="6"/>
    <s v="OBS"/>
    <s v="\Mission.Space_Seg.Spacecraft.Sol_Pan_Dep\P_duty_cyc\OBS\default"/>
    <n v="-1"/>
    <m/>
    <m/>
    <s v="-"/>
    <s v="MEC"/>
    <m/>
    <s v="MEC"/>
    <x v="1"/>
    <n v="4"/>
    <s v="Mission (Mission)"/>
    <s v="Space_Seg (Space Segment)"/>
    <x v="2"/>
    <x v="41"/>
    <m/>
  </r>
  <r>
    <s v="Mission.Space_Seg.Spacecraft.Sol_Pan_Dep"/>
    <m/>
    <x v="6"/>
    <s v="COM"/>
    <s v="\Mission.Space_Seg.Spacecraft.Sol_Pan_Dep\P_duty_cyc\COM\default"/>
    <n v="0.01"/>
    <m/>
    <m/>
    <s v="-"/>
    <s v="MEC"/>
    <m/>
    <s v="MEC"/>
    <x v="1"/>
    <n v="4"/>
    <s v="Mission (Mission)"/>
    <s v="Space_Seg (Space Segment)"/>
    <x v="2"/>
    <x v="41"/>
    <m/>
  </r>
  <r>
    <s v="Mission.Space_Seg.Spacecraft.Sol_Pan_Dep"/>
    <m/>
    <x v="6"/>
    <s v="INJ"/>
    <s v="\Mission.Space_Seg.Spacecraft.Sol_Pan_Dep\P_duty_cyc\INJ\default"/>
    <n v="-1"/>
    <m/>
    <m/>
    <s v="-"/>
    <s v="MEC"/>
    <m/>
    <s v="MEC"/>
    <x v="1"/>
    <n v="4"/>
    <s v="Mission (Mission)"/>
    <s v="Space_Seg (Space Segment)"/>
    <x v="2"/>
    <x v="41"/>
    <m/>
  </r>
  <r>
    <s v="Mission.Space_Seg.Spacecraft.Sol_Pan_Dep"/>
    <m/>
    <x v="6"/>
    <s v="CRU"/>
    <s v="\Mission.Space_Seg.Spacecraft.Sol_Pan_Dep\P_duty_cyc\CRU\default"/>
    <n v="-1"/>
    <m/>
    <m/>
    <s v="-"/>
    <s v="MEC"/>
    <m/>
    <s v="MEC"/>
    <x v="1"/>
    <n v="4"/>
    <s v="Mission (Mission)"/>
    <s v="Space_Seg (Space Segment)"/>
    <x v="2"/>
    <x v="41"/>
    <m/>
  </r>
  <r>
    <s v="Mission.Space_Seg.Spacecraft.Sol_Pan_Dep"/>
    <m/>
    <x v="6"/>
    <s v="DEO"/>
    <s v="\Mission.Space_Seg.Spacecraft.Sol_Pan_Dep\P_duty_cyc\DEO\default"/>
    <n v="-1"/>
    <m/>
    <m/>
    <s v="-"/>
    <s v="MEC"/>
    <m/>
    <s v="MEC"/>
    <x v="1"/>
    <n v="4"/>
    <s v="Mission (Mission)"/>
    <s v="Space_Seg (Space Segment)"/>
    <x v="2"/>
    <x v="41"/>
    <m/>
  </r>
  <r>
    <s v="Mission.Space_Seg.Spacecraft.Sol_Pan_Dep"/>
    <m/>
    <x v="7"/>
    <m/>
    <s v="\Mission.Space_Seg.Spacecraft.Sol_Pan_Dep\redundancy.scheme\\default"/>
    <s v="-"/>
    <m/>
    <m/>
    <m/>
    <s v="MEC"/>
    <m/>
    <s v="MEC"/>
    <x v="1"/>
    <n v="4"/>
    <s v="Mission (Mission)"/>
    <s v="Space_Seg (Space Segment)"/>
    <x v="2"/>
    <x v="41"/>
    <m/>
  </r>
  <r>
    <s v="Mission.Space_Seg.Spacecraft.Sol_Pan_Dep"/>
    <m/>
    <x v="8"/>
    <m/>
    <s v="\Mission.Space_Seg.Spacecraft.Sol_Pan_Dep\redundancy.type\\default"/>
    <s v="-"/>
    <m/>
    <m/>
    <m/>
    <s v="MEC"/>
    <m/>
    <s v="MEC"/>
    <x v="1"/>
    <n v="4"/>
    <s v="Mission (Mission)"/>
    <s v="Space_Seg (Space Segment)"/>
    <x v="2"/>
    <x v="41"/>
    <m/>
  </r>
  <r>
    <s v="Mission.Space_Seg.Spacecraft.Sol_Pan_Dep"/>
    <m/>
    <x v="9"/>
    <m/>
    <s v="\Mission.Space_Seg.Spacecraft.Sol_Pan_Dep\redundancy.k\\default"/>
    <s v="-"/>
    <m/>
    <m/>
    <m/>
    <s v="MEC"/>
    <m/>
    <s v="MEC"/>
    <x v="1"/>
    <n v="4"/>
    <s v="Mission (Mission)"/>
    <s v="Space_Seg (Space Segment)"/>
    <x v="2"/>
    <x v="41"/>
    <m/>
  </r>
  <r>
    <s v="Mission.Space_Seg.Spacecraft.Sol_Pan_Dep"/>
    <m/>
    <x v="10"/>
    <m/>
    <s v="\Mission.Space_Seg.Spacecraft.Sol_Pan_Dep\redundancy.n\\default"/>
    <s v="-"/>
    <m/>
    <m/>
    <m/>
    <s v="MEC"/>
    <m/>
    <s v="MEC"/>
    <x v="1"/>
    <n v="4"/>
    <s v="Mission (Mission)"/>
    <s v="Space_Seg (Space Segment)"/>
    <x v="2"/>
    <x v="41"/>
    <m/>
  </r>
  <r>
    <s v="Mission.Space_Seg.Spacecraft.Sol_Pan_Dep"/>
    <m/>
    <x v="11"/>
    <m/>
    <s v="\Mission.Space_Seg.Spacecraft.Sol_Pan_Dep\Temp_oper_max\\default"/>
    <n v="100"/>
    <m/>
    <m/>
    <s v="°C"/>
    <s v="MEC"/>
    <m/>
    <s v="MEC"/>
    <x v="1"/>
    <n v="4"/>
    <s v="Mission (Mission)"/>
    <s v="Space_Seg (Space Segment)"/>
    <x v="2"/>
    <x v="41"/>
    <m/>
  </r>
  <r>
    <s v="Mission.Space_Seg.Spacecraft.Sol_Pan_Dep"/>
    <m/>
    <x v="12"/>
    <m/>
    <s v="\Mission.Space_Seg.Spacecraft.Sol_Pan_Dep\Temp_oper_min\\default"/>
    <n v="-35"/>
    <m/>
    <m/>
    <s v="°C"/>
    <s v="MEC"/>
    <m/>
    <s v="MEC"/>
    <x v="1"/>
    <n v="4"/>
    <s v="Mission (Mission)"/>
    <s v="Space_Seg (Space Segment)"/>
    <x v="2"/>
    <x v="41"/>
    <m/>
  </r>
  <r>
    <s v="Mission.Space_Seg.Spacecraft.Sol_Pan_Dep"/>
    <m/>
    <x v="13"/>
    <m/>
    <s v="\Mission.Space_Seg.Spacecraft.Sol_Pan_Dep\TRL\\default"/>
    <n v="9"/>
    <m/>
    <m/>
    <m/>
    <s v="MEC"/>
    <m/>
    <s v="MEC"/>
    <x v="1"/>
    <n v="4"/>
    <s v="Mission (Mission)"/>
    <s v="Space_Seg (Space Segment)"/>
    <x v="2"/>
    <x v="41"/>
    <m/>
  </r>
  <r>
    <s v="Mission.Space_Seg.Spacecraft.Sol_Pan_Dep"/>
    <s v="Dimensions"/>
    <x v="14"/>
    <m/>
    <s v="\Mission.Space_Seg.Spacecraft.Sol_Pan_Dep\wid\\default"/>
    <s v="-"/>
    <m/>
    <m/>
    <s v="m"/>
    <s v="MEC"/>
    <m/>
    <s v="MEC"/>
    <x v="1"/>
    <n v="4"/>
    <s v="Mission (Mission)"/>
    <s v="Space_Seg (Space Segment)"/>
    <x v="2"/>
    <x v="41"/>
    <m/>
  </r>
  <r>
    <s v="Mission.Space_Seg.Spacecraft.Sol_Pan_Gim"/>
    <m/>
    <x v="0"/>
    <m/>
    <s v="\Mission.Space_Seg.Spacecraft.Sol_Pan_Gim\_name_\\default"/>
    <s v="Solar Panel Gimbal"/>
    <m/>
    <m/>
    <m/>
    <s v="MEC"/>
    <m/>
    <s v="MEC"/>
    <x v="0"/>
    <n v="4"/>
    <s v="Mission (Mission)"/>
    <s v="Space_Seg (Space Segment)"/>
    <x v="2"/>
    <x v="42"/>
    <m/>
  </r>
  <r>
    <s v="Mission.Space_Seg.Spacecraft.Sol_Pan_Gim"/>
    <s v="Dimensions"/>
    <x v="1"/>
    <m/>
    <s v="\Mission.Space_Seg.Spacecraft.Sol_Pan_Gim\diam\\default"/>
    <n v="0.2"/>
    <m/>
    <m/>
    <s v="m"/>
    <s v="MEC"/>
    <m/>
    <s v="MEC"/>
    <x v="1"/>
    <n v="4"/>
    <s v="Mission (Mission)"/>
    <s v="Space_Seg (Space Segment)"/>
    <x v="2"/>
    <x v="42"/>
    <m/>
  </r>
  <r>
    <s v="Mission.Space_Seg.Spacecraft.Sol_Pan_Gim"/>
    <s v="Dimensions"/>
    <x v="2"/>
    <m/>
    <s v="\Mission.Space_Seg.Spacecraft.Sol_Pan_Gim\height\\default"/>
    <n v="0.24"/>
    <m/>
    <m/>
    <s v="m"/>
    <s v="MEC"/>
    <m/>
    <s v="MEC"/>
    <x v="1"/>
    <n v="4"/>
    <s v="Mission (Mission)"/>
    <s v="Space_Seg (Space Segment)"/>
    <x v="2"/>
    <x v="42"/>
    <m/>
  </r>
  <r>
    <s v="Mission.Space_Seg.Spacecraft.Sol_Pan_Gim"/>
    <s v="Dimensions"/>
    <x v="3"/>
    <m/>
    <s v="\Mission.Space_Seg.Spacecraft.Sol_Pan_Gim\len\\default"/>
    <s v="-"/>
    <m/>
    <m/>
    <s v="m"/>
    <s v="MEC"/>
    <m/>
    <s v="MEC"/>
    <x v="1"/>
    <n v="4"/>
    <s v="Mission (Mission)"/>
    <s v="Space_Seg (Space Segment)"/>
    <x v="2"/>
    <x v="42"/>
    <m/>
  </r>
  <r>
    <s v="Mission.Space_Seg.Spacecraft.Sol_Pan_Gim"/>
    <m/>
    <x v="4"/>
    <m/>
    <s v="\Mission.Space_Seg.Spacecraft.Sol_Pan_Gim\m\\default"/>
    <n v="6"/>
    <n v="5"/>
    <n v="0.3"/>
    <s v="kg"/>
    <s v="MEC"/>
    <m/>
    <s v="MEC"/>
    <x v="1"/>
    <n v="4"/>
    <s v="Mission (Mission)"/>
    <s v="Space_Seg (Space Segment)"/>
    <x v="2"/>
    <x v="42"/>
    <m/>
  </r>
  <r>
    <s v="Mission.Space_Seg.Spacecraft.Sol_Pan_Gim"/>
    <m/>
    <x v="5"/>
    <m/>
    <s v="\Mission.Space_Seg.Spacecraft.Sol_Pan_Gim\P\\default"/>
    <n v="0.27500000000000002"/>
    <m/>
    <m/>
    <s v="W"/>
    <s v="MEC"/>
    <m/>
    <s v="MEC"/>
    <x v="1"/>
    <n v="4"/>
    <s v="Mission (Mission)"/>
    <s v="Space_Seg (Space Segment)"/>
    <x v="2"/>
    <x v="42"/>
    <m/>
  </r>
  <r>
    <s v="Mission.Space_Seg.Spacecraft.Sol_Pan_Gim"/>
    <m/>
    <x v="6"/>
    <s v="LAU"/>
    <s v="\Mission.Space_Seg.Spacecraft.Sol_Pan_Gim\P_duty_cyc\LAU\default"/>
    <n v="-1"/>
    <m/>
    <m/>
    <s v="-"/>
    <s v="MEC"/>
    <m/>
    <s v="MEC"/>
    <x v="1"/>
    <n v="4"/>
    <s v="Mission (Mission)"/>
    <s v="Space_Seg (Space Segment)"/>
    <x v="2"/>
    <x v="42"/>
    <m/>
  </r>
  <r>
    <s v="Mission.Space_Seg.Spacecraft.Sol_Pan_Gim"/>
    <m/>
    <x v="6"/>
    <s v="SAF"/>
    <s v="\Mission.Space_Seg.Spacecraft.Sol_Pan_Gim\P_duty_cyc\SAF\default"/>
    <n v="-1"/>
    <m/>
    <m/>
    <s v="-"/>
    <s v="MEC"/>
    <m/>
    <s v="MEC"/>
    <x v="1"/>
    <n v="4"/>
    <s v="Mission (Mission)"/>
    <s v="Space_Seg (Space Segment)"/>
    <x v="2"/>
    <x v="42"/>
    <m/>
  </r>
  <r>
    <s v="Mission.Space_Seg.Spacecraft.Sol_Pan_Gim"/>
    <m/>
    <x v="6"/>
    <s v="OBS"/>
    <s v="\Mission.Space_Seg.Spacecraft.Sol_Pan_Gim\P_duty_cyc\OBS\default"/>
    <n v="1"/>
    <m/>
    <m/>
    <s v="-"/>
    <s v="MEC"/>
    <m/>
    <s v="MEC"/>
    <x v="1"/>
    <n v="4"/>
    <s v="Mission (Mission)"/>
    <s v="Space_Seg (Space Segment)"/>
    <x v="2"/>
    <x v="42"/>
    <m/>
  </r>
  <r>
    <s v="Mission.Space_Seg.Spacecraft.Sol_Pan_Gim"/>
    <m/>
    <x v="6"/>
    <s v="COM"/>
    <s v="\Mission.Space_Seg.Spacecraft.Sol_Pan_Gim\P_duty_cyc\COM\default"/>
    <n v="1"/>
    <m/>
    <m/>
    <s v="-"/>
    <s v="MEC"/>
    <m/>
    <s v="MEC"/>
    <x v="1"/>
    <n v="4"/>
    <s v="Mission (Mission)"/>
    <s v="Space_Seg (Space Segment)"/>
    <x v="2"/>
    <x v="42"/>
    <m/>
  </r>
  <r>
    <s v="Mission.Space_Seg.Spacecraft.Sol_Pan_Gim"/>
    <m/>
    <x v="6"/>
    <s v="INJ"/>
    <s v="\Mission.Space_Seg.Spacecraft.Sol_Pan_Gim\P_duty_cyc\INJ\default"/>
    <n v="1"/>
    <m/>
    <m/>
    <s v="-"/>
    <s v="MEC"/>
    <m/>
    <s v="MEC"/>
    <x v="1"/>
    <n v="4"/>
    <s v="Mission (Mission)"/>
    <s v="Space_Seg (Space Segment)"/>
    <x v="2"/>
    <x v="42"/>
    <m/>
  </r>
  <r>
    <s v="Mission.Space_Seg.Spacecraft.Sol_Pan_Gim"/>
    <m/>
    <x v="6"/>
    <s v="CRU"/>
    <s v="\Mission.Space_Seg.Spacecraft.Sol_Pan_Gim\P_duty_cyc\CRU\default"/>
    <n v="1"/>
    <m/>
    <m/>
    <s v="-"/>
    <s v="MEC"/>
    <m/>
    <s v="MEC"/>
    <x v="1"/>
    <n v="4"/>
    <s v="Mission (Mission)"/>
    <s v="Space_Seg (Space Segment)"/>
    <x v="2"/>
    <x v="42"/>
    <m/>
  </r>
  <r>
    <s v="Mission.Space_Seg.Spacecraft.Sol_Pan_Gim"/>
    <m/>
    <x v="6"/>
    <s v="DEO"/>
    <s v="\Mission.Space_Seg.Spacecraft.Sol_Pan_Gim\P_duty_cyc\DEO\default"/>
    <n v="-1"/>
    <m/>
    <m/>
    <s v="-"/>
    <s v="MEC"/>
    <m/>
    <s v="MEC"/>
    <x v="1"/>
    <n v="4"/>
    <s v="Mission (Mission)"/>
    <s v="Space_Seg (Space Segment)"/>
    <x v="2"/>
    <x v="42"/>
    <m/>
  </r>
  <r>
    <s v="Mission.Space_Seg.Spacecraft.Sol_Pan_Gim"/>
    <m/>
    <x v="7"/>
    <m/>
    <s v="\Mission.Space_Seg.Spacecraft.Sol_Pan_Gim\redundancy.scheme\\default"/>
    <s v="-"/>
    <m/>
    <m/>
    <m/>
    <s v="MEC"/>
    <m/>
    <s v="MEC"/>
    <x v="1"/>
    <n v="4"/>
    <s v="Mission (Mission)"/>
    <s v="Space_Seg (Space Segment)"/>
    <x v="2"/>
    <x v="42"/>
    <m/>
  </r>
  <r>
    <s v="Mission.Space_Seg.Spacecraft.Sol_Pan_Gim"/>
    <m/>
    <x v="8"/>
    <m/>
    <s v="\Mission.Space_Seg.Spacecraft.Sol_Pan_Gim\redundancy.type\\default"/>
    <s v="-"/>
    <m/>
    <m/>
    <m/>
    <s v="MEC"/>
    <m/>
    <s v="MEC"/>
    <x v="1"/>
    <n v="4"/>
    <s v="Mission (Mission)"/>
    <s v="Space_Seg (Space Segment)"/>
    <x v="2"/>
    <x v="42"/>
    <m/>
  </r>
  <r>
    <s v="Mission.Space_Seg.Spacecraft.Sol_Pan_Gim"/>
    <m/>
    <x v="9"/>
    <m/>
    <s v="\Mission.Space_Seg.Spacecraft.Sol_Pan_Gim\redundancy.k\\default"/>
    <s v="-"/>
    <m/>
    <m/>
    <m/>
    <s v="MEC"/>
    <m/>
    <s v="MEC"/>
    <x v="1"/>
    <n v="4"/>
    <s v="Mission (Mission)"/>
    <s v="Space_Seg (Space Segment)"/>
    <x v="2"/>
    <x v="42"/>
    <m/>
  </r>
  <r>
    <s v="Mission.Space_Seg.Spacecraft.Sol_Pan_Gim"/>
    <m/>
    <x v="10"/>
    <m/>
    <s v="\Mission.Space_Seg.Spacecraft.Sol_Pan_Gim\redundancy.n\\default"/>
    <s v="-"/>
    <m/>
    <m/>
    <m/>
    <s v="MEC"/>
    <m/>
    <s v="MEC"/>
    <x v="1"/>
    <n v="4"/>
    <s v="Mission (Mission)"/>
    <s v="Space_Seg (Space Segment)"/>
    <x v="2"/>
    <x v="42"/>
    <m/>
  </r>
  <r>
    <s v="Mission.Space_Seg.Spacecraft.Sol_Pan_Gim"/>
    <m/>
    <x v="11"/>
    <m/>
    <s v="\Mission.Space_Seg.Spacecraft.Sol_Pan_Gim\Temp_oper_max\\default"/>
    <n v="60"/>
    <m/>
    <m/>
    <s v="°C"/>
    <s v="MEC"/>
    <m/>
    <s v="MEC"/>
    <x v="1"/>
    <n v="4"/>
    <s v="Mission (Mission)"/>
    <s v="Space_Seg (Space Segment)"/>
    <x v="2"/>
    <x v="42"/>
    <m/>
  </r>
  <r>
    <s v="Mission.Space_Seg.Spacecraft.Sol_Pan_Gim"/>
    <m/>
    <x v="12"/>
    <m/>
    <s v="\Mission.Space_Seg.Spacecraft.Sol_Pan_Gim\Temp_oper_min\\default"/>
    <n v="-30"/>
    <m/>
    <m/>
    <s v="°C"/>
    <s v="MEC"/>
    <m/>
    <s v="MEC"/>
    <x v="1"/>
    <n v="4"/>
    <s v="Mission (Mission)"/>
    <s v="Space_Seg (Space Segment)"/>
    <x v="2"/>
    <x v="42"/>
    <m/>
  </r>
  <r>
    <s v="Mission.Space_Seg.Spacecraft.Sol_Pan_Gim"/>
    <m/>
    <x v="13"/>
    <m/>
    <s v="\Mission.Space_Seg.Spacecraft.Sol_Pan_Gim\TRL\\default"/>
    <n v="9"/>
    <m/>
    <m/>
    <m/>
    <s v="MEC"/>
    <m/>
    <s v="MEC"/>
    <x v="1"/>
    <n v="4"/>
    <s v="Mission (Mission)"/>
    <s v="Space_Seg (Space Segment)"/>
    <x v="2"/>
    <x v="42"/>
    <m/>
  </r>
  <r>
    <s v="Mission.Space_Seg.Spacecraft.Sol_Pan_Gim"/>
    <s v="Dimensions"/>
    <x v="14"/>
    <m/>
    <s v="\Mission.Space_Seg.Spacecraft.Sol_Pan_Gim\wid\\default"/>
    <s v="-"/>
    <m/>
    <m/>
    <s v="m"/>
    <s v="MEC"/>
    <m/>
    <s v="MEC"/>
    <x v="1"/>
    <n v="4"/>
    <s v="Mission (Mission)"/>
    <s v="Space_Seg (Space Segment)"/>
    <x v="2"/>
    <x v="42"/>
    <m/>
  </r>
  <r>
    <s v="Mission.Space_Seg.Spacecraft.Sol_Pan_Hin"/>
    <m/>
    <x v="0"/>
    <m/>
    <s v="\Mission.Space_Seg.Spacecraft.Sol_Pan_Hin\_name_\\default"/>
    <s v="Solar Panel Hinges"/>
    <m/>
    <m/>
    <m/>
    <s v="MEC"/>
    <m/>
    <s v="MEC"/>
    <x v="0"/>
    <n v="4"/>
    <s v="Mission (Mission)"/>
    <s v="Space_Seg (Space Segment)"/>
    <x v="2"/>
    <x v="43"/>
    <m/>
  </r>
  <r>
    <s v="Mission.Space_Seg.Spacecraft.Sol_Pan_Hin"/>
    <s v="Dimensions"/>
    <x v="1"/>
    <m/>
    <s v="\Mission.Space_Seg.Spacecraft.Sol_Pan_Hin\diam\\default"/>
    <s v="-"/>
    <m/>
    <m/>
    <s v="m"/>
    <s v="MEC"/>
    <m/>
    <s v="MEC"/>
    <x v="1"/>
    <n v="4"/>
    <s v="Mission (Mission)"/>
    <s v="Space_Seg (Space Segment)"/>
    <x v="2"/>
    <x v="43"/>
    <m/>
  </r>
  <r>
    <s v="Mission.Space_Seg.Spacecraft.Sol_Pan_Hin"/>
    <s v="Dimensions"/>
    <x v="2"/>
    <m/>
    <s v="\Mission.Space_Seg.Spacecraft.Sol_Pan_Hin\height\\default"/>
    <n v="1.7500000000000002E-2"/>
    <m/>
    <m/>
    <s v="m"/>
    <s v="MEC"/>
    <m/>
    <s v="MEC"/>
    <x v="1"/>
    <n v="4"/>
    <s v="Mission (Mission)"/>
    <s v="Space_Seg (Space Segment)"/>
    <x v="2"/>
    <x v="43"/>
    <m/>
  </r>
  <r>
    <s v="Mission.Space_Seg.Spacecraft.Sol_Pan_Hin"/>
    <s v="Dimensions"/>
    <x v="3"/>
    <m/>
    <s v="\Mission.Space_Seg.Spacecraft.Sol_Pan_Hin\len\\default"/>
    <n v="0.2"/>
    <m/>
    <m/>
    <s v="m"/>
    <s v="MEC"/>
    <m/>
    <s v="MEC"/>
    <x v="1"/>
    <n v="4"/>
    <s v="Mission (Mission)"/>
    <s v="Space_Seg (Space Segment)"/>
    <x v="2"/>
    <x v="43"/>
    <m/>
  </r>
  <r>
    <s v="Mission.Space_Seg.Spacecraft.Sol_Pan_Hin"/>
    <m/>
    <x v="4"/>
    <m/>
    <s v="\Mission.Space_Seg.Spacecraft.Sol_Pan_Hin\m\\default"/>
    <n v="0.82799999999999996"/>
    <n v="5"/>
    <n v="4.1399999999999999E-2"/>
    <s v="kg"/>
    <s v="MEC"/>
    <m/>
    <s v="MEC"/>
    <x v="1"/>
    <n v="4"/>
    <s v="Mission (Mission)"/>
    <s v="Space_Seg (Space Segment)"/>
    <x v="2"/>
    <x v="43"/>
    <m/>
  </r>
  <r>
    <s v="Mission.Space_Seg.Spacecraft.Sol_Pan_Hin"/>
    <m/>
    <x v="5"/>
    <m/>
    <s v="\Mission.Space_Seg.Spacecraft.Sol_Pan_Hin\P\\default"/>
    <n v="0"/>
    <m/>
    <m/>
    <s v="W"/>
    <s v="MEC"/>
    <m/>
    <s v="MEC"/>
    <x v="1"/>
    <n v="4"/>
    <s v="Mission (Mission)"/>
    <s v="Space_Seg (Space Segment)"/>
    <x v="2"/>
    <x v="43"/>
    <m/>
  </r>
  <r>
    <s v="Mission.Space_Seg.Spacecraft.Sol_Pan_Hin"/>
    <m/>
    <x v="6"/>
    <s v="LAU"/>
    <s v="\Mission.Space_Seg.Spacecraft.Sol_Pan_Hin\P_duty_cyc\LAU\default"/>
    <n v="-1"/>
    <m/>
    <m/>
    <s v="-"/>
    <s v="MEC"/>
    <m/>
    <s v="MEC"/>
    <x v="1"/>
    <n v="4"/>
    <s v="Mission (Mission)"/>
    <s v="Space_Seg (Space Segment)"/>
    <x v="2"/>
    <x v="43"/>
    <m/>
  </r>
  <r>
    <s v="Mission.Space_Seg.Spacecraft.Sol_Pan_Hin"/>
    <m/>
    <x v="6"/>
    <s v="SAF"/>
    <s v="\Mission.Space_Seg.Spacecraft.Sol_Pan_Hin\P_duty_cyc\SAF\default"/>
    <n v="-1"/>
    <m/>
    <m/>
    <s v="-"/>
    <s v="MEC"/>
    <m/>
    <s v="MEC"/>
    <x v="1"/>
    <n v="4"/>
    <s v="Mission (Mission)"/>
    <s v="Space_Seg (Space Segment)"/>
    <x v="2"/>
    <x v="43"/>
    <m/>
  </r>
  <r>
    <s v="Mission.Space_Seg.Spacecraft.Sol_Pan_Hin"/>
    <m/>
    <x v="6"/>
    <s v="OBS"/>
    <s v="\Mission.Space_Seg.Spacecraft.Sol_Pan_Hin\P_duty_cyc\OBS\default"/>
    <n v="-1"/>
    <m/>
    <m/>
    <s v="-"/>
    <s v="MEC"/>
    <m/>
    <s v="MEC"/>
    <x v="1"/>
    <n v="4"/>
    <s v="Mission (Mission)"/>
    <s v="Space_Seg (Space Segment)"/>
    <x v="2"/>
    <x v="43"/>
    <m/>
  </r>
  <r>
    <s v="Mission.Space_Seg.Spacecraft.Sol_Pan_Hin"/>
    <m/>
    <x v="6"/>
    <s v="COM"/>
    <s v="\Mission.Space_Seg.Spacecraft.Sol_Pan_Hin\P_duty_cyc\COM\default"/>
    <n v="-1"/>
    <m/>
    <m/>
    <s v="-"/>
    <s v="MEC"/>
    <m/>
    <s v="MEC"/>
    <x v="1"/>
    <n v="4"/>
    <s v="Mission (Mission)"/>
    <s v="Space_Seg (Space Segment)"/>
    <x v="2"/>
    <x v="43"/>
    <m/>
  </r>
  <r>
    <s v="Mission.Space_Seg.Spacecraft.Sol_Pan_Hin"/>
    <m/>
    <x v="6"/>
    <s v="INJ"/>
    <s v="\Mission.Space_Seg.Spacecraft.Sol_Pan_Hin\P_duty_cyc\INJ\default"/>
    <n v="-1"/>
    <m/>
    <m/>
    <s v="-"/>
    <s v="MEC"/>
    <m/>
    <s v="MEC"/>
    <x v="1"/>
    <n v="4"/>
    <s v="Mission (Mission)"/>
    <s v="Space_Seg (Space Segment)"/>
    <x v="2"/>
    <x v="43"/>
    <m/>
  </r>
  <r>
    <s v="Mission.Space_Seg.Spacecraft.Sol_Pan_Hin"/>
    <m/>
    <x v="6"/>
    <s v="CRU"/>
    <s v="\Mission.Space_Seg.Spacecraft.Sol_Pan_Hin\P_duty_cyc\CRU\default"/>
    <n v="-1"/>
    <m/>
    <m/>
    <s v="-"/>
    <s v="MEC"/>
    <m/>
    <s v="MEC"/>
    <x v="1"/>
    <n v="4"/>
    <s v="Mission (Mission)"/>
    <s v="Space_Seg (Space Segment)"/>
    <x v="2"/>
    <x v="43"/>
    <m/>
  </r>
  <r>
    <s v="Mission.Space_Seg.Spacecraft.Sol_Pan_Hin"/>
    <m/>
    <x v="6"/>
    <s v="DEO"/>
    <s v="\Mission.Space_Seg.Spacecraft.Sol_Pan_Hin\P_duty_cyc\DEO\default"/>
    <n v="-1"/>
    <m/>
    <m/>
    <s v="-"/>
    <s v="MEC"/>
    <m/>
    <s v="MEC"/>
    <x v="1"/>
    <n v="4"/>
    <s v="Mission (Mission)"/>
    <s v="Space_Seg (Space Segment)"/>
    <x v="2"/>
    <x v="43"/>
    <m/>
  </r>
  <r>
    <s v="Mission.Space_Seg.Spacecraft.Sol_Pan_Hin"/>
    <m/>
    <x v="7"/>
    <m/>
    <s v="\Mission.Space_Seg.Spacecraft.Sol_Pan_Hin\redundancy.scheme\\default"/>
    <s v="-"/>
    <m/>
    <m/>
    <m/>
    <s v="MEC"/>
    <m/>
    <s v="MEC"/>
    <x v="1"/>
    <n v="4"/>
    <s v="Mission (Mission)"/>
    <s v="Space_Seg (Space Segment)"/>
    <x v="2"/>
    <x v="43"/>
    <m/>
  </r>
  <r>
    <s v="Mission.Space_Seg.Spacecraft.Sol_Pan_Hin"/>
    <m/>
    <x v="8"/>
    <m/>
    <s v="\Mission.Space_Seg.Spacecraft.Sol_Pan_Hin\redundancy.type\\default"/>
    <s v="-"/>
    <m/>
    <m/>
    <m/>
    <s v="MEC"/>
    <m/>
    <s v="MEC"/>
    <x v="1"/>
    <n v="4"/>
    <s v="Mission (Mission)"/>
    <s v="Space_Seg (Space Segment)"/>
    <x v="2"/>
    <x v="43"/>
    <m/>
  </r>
  <r>
    <s v="Mission.Space_Seg.Spacecraft.Sol_Pan_Hin"/>
    <m/>
    <x v="9"/>
    <m/>
    <s v="\Mission.Space_Seg.Spacecraft.Sol_Pan_Hin\redundancy.k\\default"/>
    <s v="-"/>
    <m/>
    <m/>
    <m/>
    <s v="MEC"/>
    <m/>
    <s v="MEC"/>
    <x v="1"/>
    <n v="4"/>
    <s v="Mission (Mission)"/>
    <s v="Space_Seg (Space Segment)"/>
    <x v="2"/>
    <x v="43"/>
    <m/>
  </r>
  <r>
    <s v="Mission.Space_Seg.Spacecraft.Sol_Pan_Hin"/>
    <m/>
    <x v="10"/>
    <m/>
    <s v="\Mission.Space_Seg.Spacecraft.Sol_Pan_Hin\redundancy.n\\default"/>
    <s v="-"/>
    <m/>
    <m/>
    <m/>
    <s v="MEC"/>
    <m/>
    <s v="MEC"/>
    <x v="1"/>
    <n v="4"/>
    <s v="Mission (Mission)"/>
    <s v="Space_Seg (Space Segment)"/>
    <x v="2"/>
    <x v="43"/>
    <m/>
  </r>
  <r>
    <s v="Mission.Space_Seg.Spacecraft.Sol_Pan_Hin"/>
    <m/>
    <x v="11"/>
    <m/>
    <s v="\Mission.Space_Seg.Spacecraft.Sol_Pan_Hin\Temp_oper_max\\default"/>
    <s v="-"/>
    <m/>
    <m/>
    <s v="°C"/>
    <s v="MEC"/>
    <m/>
    <s v="MEC"/>
    <x v="1"/>
    <n v="4"/>
    <s v="Mission (Mission)"/>
    <s v="Space_Seg (Space Segment)"/>
    <x v="2"/>
    <x v="43"/>
    <m/>
  </r>
  <r>
    <s v="Mission.Space_Seg.Spacecraft.Sol_Pan_Hin"/>
    <m/>
    <x v="12"/>
    <m/>
    <s v="\Mission.Space_Seg.Spacecraft.Sol_Pan_Hin\Temp_oper_min\\default"/>
    <s v="-"/>
    <m/>
    <m/>
    <s v="°C"/>
    <s v="MEC"/>
    <m/>
    <s v="MEC"/>
    <x v="1"/>
    <n v="4"/>
    <s v="Mission (Mission)"/>
    <s v="Space_Seg (Space Segment)"/>
    <x v="2"/>
    <x v="43"/>
    <m/>
  </r>
  <r>
    <s v="Mission.Space_Seg.Spacecraft.Sol_Pan_Hin"/>
    <m/>
    <x v="13"/>
    <m/>
    <s v="\Mission.Space_Seg.Spacecraft.Sol_Pan_Hin\TRL\\default"/>
    <n v="9"/>
    <m/>
    <m/>
    <m/>
    <s v="MEC"/>
    <m/>
    <s v="MEC"/>
    <x v="1"/>
    <n v="4"/>
    <s v="Mission (Mission)"/>
    <s v="Space_Seg (Space Segment)"/>
    <x v="2"/>
    <x v="43"/>
    <m/>
  </r>
  <r>
    <s v="Mission.Space_Seg.Spacecraft.Sol_Pan_Hin"/>
    <s v="Dimensions"/>
    <x v="14"/>
    <m/>
    <s v="\Mission.Space_Seg.Spacecraft.Sol_Pan_Hin\wid\\default"/>
    <n v="1.4999999999999999E-2"/>
    <m/>
    <m/>
    <s v="m"/>
    <s v="MEC"/>
    <m/>
    <s v="MEC"/>
    <x v="1"/>
    <n v="4"/>
    <s v="Mission (Mission)"/>
    <s v="Space_Seg (Space Segment)"/>
    <x v="2"/>
    <x v="43"/>
    <m/>
  </r>
  <r>
    <s v="Mission.Space_Seg.Spacecraft.SS_ElecBox"/>
    <m/>
    <x v="0"/>
    <m/>
    <s v="\Mission.Space_Seg.Spacecraft.SS_ElecBox\_name_\\default"/>
    <s v="Sun Sensor Electronics Box"/>
    <m/>
    <m/>
    <m/>
    <s v="AOGNC"/>
    <m/>
    <s v="AOGNC"/>
    <x v="0"/>
    <n v="4"/>
    <s v="Mission (Mission)"/>
    <s v="Space_Seg (Space Segment)"/>
    <x v="2"/>
    <x v="44"/>
    <m/>
  </r>
  <r>
    <s v="Mission.Space_Seg.Spacecraft.SS_ElecBox"/>
    <s v="Dimensions"/>
    <x v="1"/>
    <m/>
    <s v="\Mission.Space_Seg.Spacecraft.SS_ElecBox\diam\\default"/>
    <s v="-"/>
    <m/>
    <m/>
    <s v="m"/>
    <s v="AOGNC"/>
    <m/>
    <s v="AOGNC"/>
    <x v="1"/>
    <n v="4"/>
    <s v="Mission (Mission)"/>
    <s v="Space_Seg (Space Segment)"/>
    <x v="2"/>
    <x v="44"/>
    <m/>
  </r>
  <r>
    <s v="Mission.Space_Seg.Spacecraft.SS_ElecBox"/>
    <s v="Dimensions"/>
    <x v="2"/>
    <m/>
    <s v="\Mission.Space_Seg.Spacecraft.SS_ElecBox\height\\default"/>
    <s v="-"/>
    <m/>
    <m/>
    <s v="m"/>
    <s v="AOGNC"/>
    <m/>
    <s v="AOGNC"/>
    <x v="1"/>
    <n v="4"/>
    <s v="Mission (Mission)"/>
    <s v="Space_Seg (Space Segment)"/>
    <x v="2"/>
    <x v="44"/>
    <m/>
  </r>
  <r>
    <s v="Mission.Space_Seg.Spacecraft.SS_ElecBox"/>
    <s v="Dimensions"/>
    <x v="3"/>
    <m/>
    <s v="\Mission.Space_Seg.Spacecraft.SS_ElecBox\len\\default"/>
    <s v="-"/>
    <m/>
    <m/>
    <s v="m"/>
    <s v="AOGNC"/>
    <m/>
    <s v="AOGNC"/>
    <x v="1"/>
    <n v="4"/>
    <s v="Mission (Mission)"/>
    <s v="Space_Seg (Space Segment)"/>
    <x v="2"/>
    <x v="44"/>
    <m/>
  </r>
  <r>
    <s v="Mission.Space_Seg.Spacecraft.SS_ElecBox"/>
    <m/>
    <x v="4"/>
    <m/>
    <s v="\Mission.Space_Seg.Spacecraft.SS_ElecBox\m\\default"/>
    <n v="1"/>
    <n v="5"/>
    <n v="0.05"/>
    <s v="kg"/>
    <s v="AOGNC"/>
    <m/>
    <s v="AOGNC"/>
    <x v="1"/>
    <n v="4"/>
    <s v="Mission (Mission)"/>
    <s v="Space_Seg (Space Segment)"/>
    <x v="2"/>
    <x v="44"/>
    <m/>
  </r>
  <r>
    <s v="Mission.Space_Seg.Spacecraft.SS_ElecBox"/>
    <m/>
    <x v="5"/>
    <m/>
    <s v="\Mission.Space_Seg.Spacecraft.SS_ElecBox\P\\default"/>
    <n v="0.9"/>
    <m/>
    <m/>
    <s v="W"/>
    <s v="AOGNC"/>
    <m/>
    <s v="AOGNC"/>
    <x v="1"/>
    <n v="4"/>
    <s v="Mission (Mission)"/>
    <s v="Space_Seg (Space Segment)"/>
    <x v="2"/>
    <x v="44"/>
    <m/>
  </r>
  <r>
    <s v="Mission.Space_Seg.Spacecraft.SS_ElecBox"/>
    <m/>
    <x v="6"/>
    <s v="LAU"/>
    <s v="\Mission.Space_Seg.Spacecraft.SS_ElecBox\P_duty_cyc\LAU\default"/>
    <n v="-1"/>
    <m/>
    <m/>
    <s v="-"/>
    <s v="AOGNC"/>
    <m/>
    <s v="AOGNC"/>
    <x v="1"/>
    <n v="4"/>
    <s v="Mission (Mission)"/>
    <s v="Space_Seg (Space Segment)"/>
    <x v="2"/>
    <x v="44"/>
    <m/>
  </r>
  <r>
    <s v="Mission.Space_Seg.Spacecraft.SS_ElecBox"/>
    <m/>
    <x v="6"/>
    <s v="SAF"/>
    <s v="\Mission.Space_Seg.Spacecraft.SS_ElecBox\P_duty_cyc\SAF\default"/>
    <n v="1"/>
    <m/>
    <m/>
    <s v="-"/>
    <s v="AOGNC"/>
    <m/>
    <s v="AOGNC"/>
    <x v="1"/>
    <n v="4"/>
    <s v="Mission (Mission)"/>
    <s v="Space_Seg (Space Segment)"/>
    <x v="2"/>
    <x v="44"/>
    <m/>
  </r>
  <r>
    <s v="Mission.Space_Seg.Spacecraft.SS_ElecBox"/>
    <m/>
    <x v="6"/>
    <s v="OBS"/>
    <s v="\Mission.Space_Seg.Spacecraft.SS_ElecBox\P_duty_cyc\OBS\default"/>
    <n v="1"/>
    <m/>
    <m/>
    <s v="-"/>
    <s v="AOGNC"/>
    <m/>
    <s v="AOGNC"/>
    <x v="1"/>
    <n v="4"/>
    <s v="Mission (Mission)"/>
    <s v="Space_Seg (Space Segment)"/>
    <x v="2"/>
    <x v="44"/>
    <m/>
  </r>
  <r>
    <s v="Mission.Space_Seg.Spacecraft.SS_ElecBox"/>
    <m/>
    <x v="6"/>
    <s v="COM"/>
    <s v="\Mission.Space_Seg.Spacecraft.SS_ElecBox\P_duty_cyc\COM\default"/>
    <n v="1"/>
    <m/>
    <m/>
    <s v="-"/>
    <s v="AOGNC"/>
    <m/>
    <s v="AOGNC"/>
    <x v="1"/>
    <n v="4"/>
    <s v="Mission (Mission)"/>
    <s v="Space_Seg (Space Segment)"/>
    <x v="2"/>
    <x v="44"/>
    <m/>
  </r>
  <r>
    <s v="Mission.Space_Seg.Spacecraft.SS_ElecBox"/>
    <m/>
    <x v="6"/>
    <s v="INJ"/>
    <s v="\Mission.Space_Seg.Spacecraft.SS_ElecBox\P_duty_cyc\INJ\default"/>
    <n v="1"/>
    <m/>
    <m/>
    <s v="-"/>
    <s v="AOGNC"/>
    <m/>
    <s v="AOGNC"/>
    <x v="1"/>
    <n v="4"/>
    <s v="Mission (Mission)"/>
    <s v="Space_Seg (Space Segment)"/>
    <x v="2"/>
    <x v="44"/>
    <m/>
  </r>
  <r>
    <s v="Mission.Space_Seg.Spacecraft.SS_ElecBox"/>
    <m/>
    <x v="6"/>
    <s v="CRU"/>
    <s v="\Mission.Space_Seg.Spacecraft.SS_ElecBox\P_duty_cyc\CRU\default"/>
    <n v="1"/>
    <m/>
    <m/>
    <s v="-"/>
    <s v="AOGNC"/>
    <m/>
    <s v="AOGNC"/>
    <x v="1"/>
    <n v="4"/>
    <s v="Mission (Mission)"/>
    <s v="Space_Seg (Space Segment)"/>
    <x v="2"/>
    <x v="44"/>
    <m/>
  </r>
  <r>
    <s v="Mission.Space_Seg.Spacecraft.SS_ElecBox"/>
    <m/>
    <x v="6"/>
    <s v="DEO"/>
    <s v="\Mission.Space_Seg.Spacecraft.SS_ElecBox\P_duty_cyc\DEO\default"/>
    <n v="-1"/>
    <m/>
    <m/>
    <s v="-"/>
    <s v="AOGNC"/>
    <m/>
    <s v="AOGNC"/>
    <x v="1"/>
    <n v="4"/>
    <s v="Mission (Mission)"/>
    <s v="Space_Seg (Space Segment)"/>
    <x v="2"/>
    <x v="44"/>
    <m/>
  </r>
  <r>
    <s v="Mission.Space_Seg.Spacecraft.SS_ElecBox"/>
    <m/>
    <x v="7"/>
    <m/>
    <s v="\Mission.Space_Seg.Spacecraft.SS_ElecBox\redundancy.scheme\\default"/>
    <s v="-"/>
    <m/>
    <m/>
    <m/>
    <s v="AOGNC"/>
    <m/>
    <s v="AOGNC"/>
    <x v="1"/>
    <n v="4"/>
    <s v="Mission (Mission)"/>
    <s v="Space_Seg (Space Segment)"/>
    <x v="2"/>
    <x v="44"/>
    <m/>
  </r>
  <r>
    <s v="Mission.Space_Seg.Spacecraft.SS_ElecBox"/>
    <m/>
    <x v="8"/>
    <m/>
    <s v="\Mission.Space_Seg.Spacecraft.SS_ElecBox\redundancy.type\\default"/>
    <s v="-"/>
    <m/>
    <m/>
    <m/>
    <s v="AOGNC"/>
    <m/>
    <s v="AOGNC"/>
    <x v="1"/>
    <n v="4"/>
    <s v="Mission (Mission)"/>
    <s v="Space_Seg (Space Segment)"/>
    <x v="2"/>
    <x v="44"/>
    <m/>
  </r>
  <r>
    <s v="Mission.Space_Seg.Spacecraft.SS_ElecBox"/>
    <m/>
    <x v="9"/>
    <m/>
    <s v="\Mission.Space_Seg.Spacecraft.SS_ElecBox\redundancy.k\\default"/>
    <n v="1"/>
    <m/>
    <m/>
    <m/>
    <s v="AOGNC"/>
    <m/>
    <s v="AOGNC"/>
    <x v="1"/>
    <n v="4"/>
    <s v="Mission (Mission)"/>
    <s v="Space_Seg (Space Segment)"/>
    <x v="2"/>
    <x v="44"/>
    <m/>
  </r>
  <r>
    <s v="Mission.Space_Seg.Spacecraft.SS_ElecBox"/>
    <m/>
    <x v="10"/>
    <m/>
    <s v="\Mission.Space_Seg.Spacecraft.SS_ElecBox\redundancy.n\\default"/>
    <n v="1"/>
    <m/>
    <m/>
    <m/>
    <s v="AOGNC"/>
    <m/>
    <s v="AOGNC"/>
    <x v="1"/>
    <n v="4"/>
    <s v="Mission (Mission)"/>
    <s v="Space_Seg (Space Segment)"/>
    <x v="2"/>
    <x v="44"/>
    <m/>
  </r>
  <r>
    <s v="Mission.Space_Seg.Spacecraft.SS_ElecBox"/>
    <m/>
    <x v="11"/>
    <m/>
    <s v="\Mission.Space_Seg.Spacecraft.SS_ElecBox\Temp_oper_max\\default"/>
    <s v="-"/>
    <m/>
    <m/>
    <s v="°C"/>
    <s v="AOGNC"/>
    <m/>
    <s v="AOGNC"/>
    <x v="1"/>
    <n v="4"/>
    <s v="Mission (Mission)"/>
    <s v="Space_Seg (Space Segment)"/>
    <x v="2"/>
    <x v="44"/>
    <m/>
  </r>
  <r>
    <s v="Mission.Space_Seg.Spacecraft.SS_ElecBox"/>
    <m/>
    <x v="12"/>
    <m/>
    <s v="\Mission.Space_Seg.Spacecraft.SS_ElecBox\Temp_oper_min\\default"/>
    <s v="-"/>
    <m/>
    <m/>
    <s v="°C"/>
    <s v="AOGNC"/>
    <m/>
    <s v="AOGNC"/>
    <x v="1"/>
    <n v="4"/>
    <s v="Mission (Mission)"/>
    <s v="Space_Seg (Space Segment)"/>
    <x v="2"/>
    <x v="44"/>
    <m/>
  </r>
  <r>
    <s v="Mission.Space_Seg.Spacecraft.SS_ElecBox"/>
    <m/>
    <x v="13"/>
    <m/>
    <s v="\Mission.Space_Seg.Spacecraft.SS_ElecBox\TRL\\default"/>
    <n v="9"/>
    <m/>
    <m/>
    <m/>
    <s v="AOGNC"/>
    <m/>
    <s v="AOGNC"/>
    <x v="1"/>
    <n v="4"/>
    <s v="Mission (Mission)"/>
    <s v="Space_Seg (Space Segment)"/>
    <x v="2"/>
    <x v="44"/>
    <m/>
  </r>
  <r>
    <s v="Mission.Space_Seg.Spacecraft.SS_ElecBox"/>
    <s v="Dimensions"/>
    <x v="14"/>
    <m/>
    <s v="\Mission.Space_Seg.Spacecraft.SS_ElecBox\wid\\default"/>
    <s v="-"/>
    <m/>
    <m/>
    <s v="m"/>
    <s v="AOGNC"/>
    <m/>
    <s v="AOGNC"/>
    <x v="1"/>
    <n v="4"/>
    <s v="Mission (Mission)"/>
    <s v="Space_Seg (Space Segment)"/>
    <x v="2"/>
    <x v="44"/>
    <m/>
  </r>
  <r>
    <s v="Mission.Space_Seg.Spacecraft.Star_trckr_1"/>
    <m/>
    <x v="0"/>
    <m/>
    <s v="\Mission.Space_Seg.Spacecraft.Star_trckr_1\_name_\\default"/>
    <s v="Star Tracker #1"/>
    <m/>
    <m/>
    <m/>
    <s v="AOGNC"/>
    <m/>
    <s v="AOGNC"/>
    <x v="0"/>
    <n v="4"/>
    <s v="Mission (Mission)"/>
    <s v="Space_Seg (Space Segment)"/>
    <x v="2"/>
    <x v="45"/>
    <m/>
  </r>
  <r>
    <s v="Mission.Space_Seg.Spacecraft.Star_trckr_1"/>
    <s v="Dimensions"/>
    <x v="1"/>
    <m/>
    <s v="\Mission.Space_Seg.Spacecraft.Star_trckr_1\diam\\default"/>
    <s v="-"/>
    <m/>
    <m/>
    <s v="m"/>
    <s v="AOGNC"/>
    <m/>
    <s v="AOGNC"/>
    <x v="1"/>
    <n v="4"/>
    <s v="Mission (Mission)"/>
    <s v="Space_Seg (Space Segment)"/>
    <x v="2"/>
    <x v="45"/>
    <m/>
  </r>
  <r>
    <s v="Mission.Space_Seg.Spacecraft.Star_trckr_1"/>
    <s v="Dimensions"/>
    <x v="2"/>
    <m/>
    <s v="\Mission.Space_Seg.Spacecraft.Star_trckr_1\height\\default"/>
    <n v="9.4E-2"/>
    <m/>
    <m/>
    <s v="m"/>
    <s v="AOGNC"/>
    <m/>
    <s v="AOGNC"/>
    <x v="1"/>
    <n v="4"/>
    <s v="Mission (Mission)"/>
    <s v="Space_Seg (Space Segment)"/>
    <x v="2"/>
    <x v="45"/>
    <m/>
  </r>
  <r>
    <s v="Mission.Space_Seg.Spacecraft.Star_trckr_1"/>
    <m/>
    <x v="32"/>
    <m/>
    <s v="\Mission.Space_Seg.Spacecraft.Star_trckr_1\know_pointing\\default"/>
    <n v="5.1999999999999995E-4"/>
    <m/>
    <m/>
    <s v="rad"/>
    <s v="AOGNC"/>
    <m/>
    <s v="AOGNC"/>
    <x v="1"/>
    <n v="4"/>
    <s v="Mission (Mission)"/>
    <s v="Space_Seg (Space Segment)"/>
    <x v="2"/>
    <x v="45"/>
    <m/>
  </r>
  <r>
    <s v="Mission.Space_Seg.Spacecraft.Star_trckr_1"/>
    <s v="Dimensions"/>
    <x v="3"/>
    <m/>
    <s v="\Mission.Space_Seg.Spacecraft.Star_trckr_1\len\\default"/>
    <n v="5.6000000000000001E-2"/>
    <m/>
    <m/>
    <s v="m"/>
    <s v="AOGNC"/>
    <m/>
    <s v="AOGNC"/>
    <x v="1"/>
    <n v="4"/>
    <s v="Mission (Mission)"/>
    <s v="Space_Seg (Space Segment)"/>
    <x v="2"/>
    <x v="45"/>
    <m/>
  </r>
  <r>
    <s v="Mission.Space_Seg.Spacecraft.Star_trckr_1"/>
    <m/>
    <x v="4"/>
    <m/>
    <s v="\Mission.Space_Seg.Spacecraft.Star_trckr_1\m\\default"/>
    <n v="0.21"/>
    <n v="5"/>
    <n v="1.0499999999999999E-2"/>
    <s v="kg"/>
    <s v="AOGNC"/>
    <m/>
    <s v="AOGNC"/>
    <x v="1"/>
    <n v="4"/>
    <s v="Mission (Mission)"/>
    <s v="Space_Seg (Space Segment)"/>
    <x v="2"/>
    <x v="45"/>
    <m/>
  </r>
  <r>
    <s v="Mission.Space_Seg.Spacecraft.Star_trckr_1"/>
    <m/>
    <x v="5"/>
    <m/>
    <s v="\Mission.Space_Seg.Spacecraft.Star_trckr_1\P\\default"/>
    <n v="1"/>
    <m/>
    <m/>
    <s v="W"/>
    <s v="AOGNC"/>
    <m/>
    <s v="AOGNC"/>
    <x v="1"/>
    <n v="4"/>
    <s v="Mission (Mission)"/>
    <s v="Space_Seg (Space Segment)"/>
    <x v="2"/>
    <x v="45"/>
    <m/>
  </r>
  <r>
    <s v="Mission.Space_Seg.Spacecraft.Star_trckr_1"/>
    <m/>
    <x v="6"/>
    <s v="LAU"/>
    <s v="\Mission.Space_Seg.Spacecraft.Star_trckr_1\P_duty_cyc\LAU\default"/>
    <n v="-1"/>
    <m/>
    <m/>
    <s v="-"/>
    <s v="AOGNC"/>
    <m/>
    <s v="AOGNC"/>
    <x v="1"/>
    <n v="4"/>
    <s v="Mission (Mission)"/>
    <s v="Space_Seg (Space Segment)"/>
    <x v="2"/>
    <x v="45"/>
    <m/>
  </r>
  <r>
    <s v="Mission.Space_Seg.Spacecraft.Star_trckr_1"/>
    <m/>
    <x v="6"/>
    <s v="SAF"/>
    <s v="\Mission.Space_Seg.Spacecraft.Star_trckr_1\P_duty_cyc\SAF\default"/>
    <n v="-1"/>
    <m/>
    <m/>
    <s v="-"/>
    <s v="AOGNC"/>
    <m/>
    <s v="AOGNC"/>
    <x v="1"/>
    <n v="4"/>
    <s v="Mission (Mission)"/>
    <s v="Space_Seg (Space Segment)"/>
    <x v="2"/>
    <x v="45"/>
    <m/>
  </r>
  <r>
    <s v="Mission.Space_Seg.Spacecraft.Star_trckr_1"/>
    <m/>
    <x v="6"/>
    <s v="OBS"/>
    <s v="\Mission.Space_Seg.Spacecraft.Star_trckr_1\P_duty_cyc\OBS\default"/>
    <n v="1"/>
    <m/>
    <m/>
    <s v="-"/>
    <s v="AOGNC"/>
    <m/>
    <s v="AOGNC"/>
    <x v="1"/>
    <n v="4"/>
    <s v="Mission (Mission)"/>
    <s v="Space_Seg (Space Segment)"/>
    <x v="2"/>
    <x v="45"/>
    <m/>
  </r>
  <r>
    <s v="Mission.Space_Seg.Spacecraft.Star_trckr_1"/>
    <m/>
    <x v="6"/>
    <s v="COM"/>
    <s v="\Mission.Space_Seg.Spacecraft.Star_trckr_1\P_duty_cyc\COM\default"/>
    <n v="1"/>
    <m/>
    <m/>
    <s v="-"/>
    <s v="AOGNC"/>
    <m/>
    <s v="AOGNC"/>
    <x v="1"/>
    <n v="4"/>
    <s v="Mission (Mission)"/>
    <s v="Space_Seg (Space Segment)"/>
    <x v="2"/>
    <x v="45"/>
    <m/>
  </r>
  <r>
    <s v="Mission.Space_Seg.Spacecraft.Star_trckr_1"/>
    <m/>
    <x v="6"/>
    <s v="INJ"/>
    <s v="\Mission.Space_Seg.Spacecraft.Star_trckr_1\P_duty_cyc\INJ\default"/>
    <n v="1"/>
    <m/>
    <m/>
    <s v="-"/>
    <s v="AOGNC"/>
    <m/>
    <s v="AOGNC"/>
    <x v="1"/>
    <n v="4"/>
    <s v="Mission (Mission)"/>
    <s v="Space_Seg (Space Segment)"/>
    <x v="2"/>
    <x v="45"/>
    <m/>
  </r>
  <r>
    <s v="Mission.Space_Seg.Spacecraft.Star_trckr_1"/>
    <m/>
    <x v="6"/>
    <s v="CRU"/>
    <s v="\Mission.Space_Seg.Spacecraft.Star_trckr_1\P_duty_cyc\CRU\default"/>
    <n v="1"/>
    <m/>
    <m/>
    <s v="-"/>
    <s v="AOGNC"/>
    <m/>
    <s v="AOGNC"/>
    <x v="1"/>
    <n v="4"/>
    <s v="Mission (Mission)"/>
    <s v="Space_Seg (Space Segment)"/>
    <x v="2"/>
    <x v="45"/>
    <m/>
  </r>
  <r>
    <s v="Mission.Space_Seg.Spacecraft.Star_trckr_1"/>
    <m/>
    <x v="6"/>
    <s v="DEO"/>
    <s v="\Mission.Space_Seg.Spacecraft.Star_trckr_1\P_duty_cyc\DEO\default"/>
    <n v="1"/>
    <m/>
    <m/>
    <s v="-"/>
    <s v="AOGNC"/>
    <m/>
    <s v="AOGNC"/>
    <x v="1"/>
    <n v="4"/>
    <s v="Mission (Mission)"/>
    <s v="Space_Seg (Space Segment)"/>
    <x v="2"/>
    <x v="45"/>
    <m/>
  </r>
  <r>
    <s v="Mission.Space_Seg.Spacecraft.Star_trckr_1"/>
    <m/>
    <x v="7"/>
    <m/>
    <s v="\Mission.Space_Seg.Spacecraft.Star_trckr_1\redundancy.scheme\\default"/>
    <s v="-"/>
    <m/>
    <m/>
    <m/>
    <s v="AOGNC"/>
    <m/>
    <s v="AOGNC"/>
    <x v="1"/>
    <n v="4"/>
    <s v="Mission (Mission)"/>
    <s v="Space_Seg (Space Segment)"/>
    <x v="2"/>
    <x v="45"/>
    <m/>
  </r>
  <r>
    <s v="Mission.Space_Seg.Spacecraft.Star_trckr_1"/>
    <m/>
    <x v="8"/>
    <m/>
    <s v="\Mission.Space_Seg.Spacecraft.Star_trckr_1\redundancy.type\\default"/>
    <s v="-"/>
    <m/>
    <m/>
    <m/>
    <s v="AOGNC"/>
    <m/>
    <s v="AOGNC"/>
    <x v="1"/>
    <n v="4"/>
    <s v="Mission (Mission)"/>
    <s v="Space_Seg (Space Segment)"/>
    <x v="2"/>
    <x v="45"/>
    <m/>
  </r>
  <r>
    <s v="Mission.Space_Seg.Spacecraft.Star_trckr_1"/>
    <m/>
    <x v="9"/>
    <m/>
    <s v="\Mission.Space_Seg.Spacecraft.Star_trckr_1\redundancy.k\\default"/>
    <n v="1"/>
    <m/>
    <m/>
    <m/>
    <s v="AOGNC"/>
    <m/>
    <s v="AOGNC"/>
    <x v="1"/>
    <n v="4"/>
    <s v="Mission (Mission)"/>
    <s v="Space_Seg (Space Segment)"/>
    <x v="2"/>
    <x v="45"/>
    <m/>
  </r>
  <r>
    <s v="Mission.Space_Seg.Spacecraft.Star_trckr_1"/>
    <m/>
    <x v="10"/>
    <m/>
    <s v="\Mission.Space_Seg.Spacecraft.Star_trckr_1\redundancy.n\\default"/>
    <n v="2"/>
    <m/>
    <m/>
    <m/>
    <s v="AOGNC"/>
    <m/>
    <s v="AOGNC"/>
    <x v="1"/>
    <n v="4"/>
    <s v="Mission (Mission)"/>
    <s v="Space_Seg (Space Segment)"/>
    <x v="2"/>
    <x v="45"/>
    <m/>
  </r>
  <r>
    <s v="Mission.Space_Seg.Spacecraft.Star_trckr_1"/>
    <m/>
    <x v="11"/>
    <m/>
    <s v="\Mission.Space_Seg.Spacecraft.Star_trckr_1\Temp_oper_max\\default"/>
    <n v="40"/>
    <m/>
    <m/>
    <s v="°C"/>
    <s v="AOGNC"/>
    <m/>
    <s v="AOGNC"/>
    <x v="1"/>
    <n v="4"/>
    <s v="Mission (Mission)"/>
    <s v="Space_Seg (Space Segment)"/>
    <x v="2"/>
    <x v="45"/>
    <m/>
  </r>
  <r>
    <s v="Mission.Space_Seg.Spacecraft.Star_trckr_1"/>
    <m/>
    <x v="12"/>
    <m/>
    <s v="\Mission.Space_Seg.Spacecraft.Star_trckr_1\Temp_oper_min\\default"/>
    <n v="-30"/>
    <m/>
    <m/>
    <s v="°C"/>
    <s v="AOGNC"/>
    <m/>
    <s v="AOGNC"/>
    <x v="1"/>
    <n v="4"/>
    <s v="Mission (Mission)"/>
    <s v="Space_Seg (Space Segment)"/>
    <x v="2"/>
    <x v="45"/>
    <m/>
  </r>
  <r>
    <s v="Mission.Space_Seg.Spacecraft.Star_trckr_1"/>
    <m/>
    <x v="13"/>
    <m/>
    <s v="\Mission.Space_Seg.Spacecraft.Star_trckr_1\TRL\\default"/>
    <n v="9"/>
    <m/>
    <m/>
    <m/>
    <s v="AOGNC"/>
    <m/>
    <s v="AOGNC"/>
    <x v="1"/>
    <n v="4"/>
    <s v="Mission (Mission)"/>
    <s v="Space_Seg (Space Segment)"/>
    <x v="2"/>
    <x v="45"/>
    <m/>
  </r>
  <r>
    <s v="Mission.Space_Seg.Spacecraft.Star_trckr_1"/>
    <s v="Dimensions"/>
    <x v="14"/>
    <m/>
    <s v="\Mission.Space_Seg.Spacecraft.Star_trckr_1\wid\\default"/>
    <n v="6.6000000000000003E-2"/>
    <m/>
    <m/>
    <s v="m"/>
    <s v="AOGNC"/>
    <m/>
    <s v="AOGNC"/>
    <x v="1"/>
    <n v="4"/>
    <s v="Mission (Mission)"/>
    <s v="Space_Seg (Space Segment)"/>
    <x v="2"/>
    <x v="45"/>
    <m/>
  </r>
  <r>
    <s v="Mission.Space_Seg.Spacecraft.Star_trckr_2"/>
    <m/>
    <x v="0"/>
    <m/>
    <s v="\Mission.Space_Seg.Spacecraft.Star_trckr_2\_name_\\default"/>
    <s v="Star Tracker #2"/>
    <m/>
    <m/>
    <m/>
    <s v="AOGNC"/>
    <m/>
    <s v="AOGNC"/>
    <x v="0"/>
    <n v="4"/>
    <s v="Mission (Mission)"/>
    <s v="Space_Seg (Space Segment)"/>
    <x v="2"/>
    <x v="46"/>
    <m/>
  </r>
  <r>
    <s v="Mission.Space_Seg.Spacecraft.Star_trckr_2"/>
    <s v="Dimensions"/>
    <x v="1"/>
    <m/>
    <s v="\Mission.Space_Seg.Spacecraft.Star_trckr_2\diam\\default"/>
    <s v="-"/>
    <m/>
    <m/>
    <s v="m"/>
    <s v="AOGNC"/>
    <m/>
    <s v="AOGNC"/>
    <x v="1"/>
    <n v="4"/>
    <s v="Mission (Mission)"/>
    <s v="Space_Seg (Space Segment)"/>
    <x v="2"/>
    <x v="46"/>
    <m/>
  </r>
  <r>
    <s v="Mission.Space_Seg.Spacecraft.Star_trckr_2"/>
    <s v="Dimensions"/>
    <x v="2"/>
    <m/>
    <s v="\Mission.Space_Seg.Spacecraft.Star_trckr_2\height\\default"/>
    <n v="9.4E-2"/>
    <m/>
    <m/>
    <s v="m"/>
    <s v="AOGNC"/>
    <m/>
    <s v="AOGNC"/>
    <x v="1"/>
    <n v="4"/>
    <s v="Mission (Mission)"/>
    <s v="Space_Seg (Space Segment)"/>
    <x v="2"/>
    <x v="46"/>
    <m/>
  </r>
  <r>
    <s v="Mission.Space_Seg.Spacecraft.Star_trckr_2"/>
    <m/>
    <x v="32"/>
    <m/>
    <s v="\Mission.Space_Seg.Spacecraft.Star_trckr_2\know_pointing\\default"/>
    <n v="5.1999999999999995E-4"/>
    <m/>
    <m/>
    <s v="rad"/>
    <s v="AOGNC"/>
    <m/>
    <s v="AOGNC"/>
    <x v="1"/>
    <n v="4"/>
    <s v="Mission (Mission)"/>
    <s v="Space_Seg (Space Segment)"/>
    <x v="2"/>
    <x v="46"/>
    <m/>
  </r>
  <r>
    <s v="Mission.Space_Seg.Spacecraft.Star_trckr_2"/>
    <s v="Dimensions"/>
    <x v="3"/>
    <m/>
    <s v="\Mission.Space_Seg.Spacecraft.Star_trckr_2\len\\default"/>
    <n v="5.6000000000000001E-2"/>
    <m/>
    <m/>
    <s v="m"/>
    <s v="AOGNC"/>
    <m/>
    <s v="AOGNC"/>
    <x v="1"/>
    <n v="4"/>
    <s v="Mission (Mission)"/>
    <s v="Space_Seg (Space Segment)"/>
    <x v="2"/>
    <x v="46"/>
    <m/>
  </r>
  <r>
    <s v="Mission.Space_Seg.Spacecraft.Star_trckr_2"/>
    <m/>
    <x v="4"/>
    <m/>
    <s v="\Mission.Space_Seg.Spacecraft.Star_trckr_2\m\\default"/>
    <n v="0.21"/>
    <n v="5"/>
    <n v="1.0499999999999999E-2"/>
    <s v="kg"/>
    <s v="AOGNC"/>
    <m/>
    <s v="AOGNC"/>
    <x v="1"/>
    <n v="4"/>
    <s v="Mission (Mission)"/>
    <s v="Space_Seg (Space Segment)"/>
    <x v="2"/>
    <x v="46"/>
    <m/>
  </r>
  <r>
    <s v="Mission.Space_Seg.Spacecraft.Star_trckr_2"/>
    <m/>
    <x v="5"/>
    <m/>
    <s v="\Mission.Space_Seg.Spacecraft.Star_trckr_2\P\\default"/>
    <n v="1"/>
    <m/>
    <m/>
    <s v="W"/>
    <s v="AOGNC"/>
    <m/>
    <s v="AOGNC"/>
    <x v="1"/>
    <n v="4"/>
    <s v="Mission (Mission)"/>
    <s v="Space_Seg (Space Segment)"/>
    <x v="2"/>
    <x v="46"/>
    <m/>
  </r>
  <r>
    <s v="Mission.Space_Seg.Spacecraft.Star_trckr_2"/>
    <m/>
    <x v="6"/>
    <s v="LAU"/>
    <s v="\Mission.Space_Seg.Spacecraft.Star_trckr_2\P_duty_cyc\LAU\default"/>
    <n v="-1"/>
    <m/>
    <m/>
    <s v="-"/>
    <s v="AOGNC"/>
    <m/>
    <s v="AOGNC"/>
    <x v="1"/>
    <n v="4"/>
    <s v="Mission (Mission)"/>
    <s v="Space_Seg (Space Segment)"/>
    <x v="2"/>
    <x v="46"/>
    <m/>
  </r>
  <r>
    <s v="Mission.Space_Seg.Spacecraft.Star_trckr_2"/>
    <m/>
    <x v="6"/>
    <s v="SAF"/>
    <s v="\Mission.Space_Seg.Spacecraft.Star_trckr_2\P_duty_cyc\SAF\default"/>
    <n v="-1"/>
    <m/>
    <m/>
    <s v="-"/>
    <s v="AOGNC"/>
    <m/>
    <s v="AOGNC"/>
    <x v="1"/>
    <n v="4"/>
    <s v="Mission (Mission)"/>
    <s v="Space_Seg (Space Segment)"/>
    <x v="2"/>
    <x v="46"/>
    <m/>
  </r>
  <r>
    <s v="Mission.Space_Seg.Spacecraft.Star_trckr_2"/>
    <m/>
    <x v="6"/>
    <s v="OBS"/>
    <s v="\Mission.Space_Seg.Spacecraft.Star_trckr_2\P_duty_cyc\OBS\default"/>
    <n v="1"/>
    <m/>
    <m/>
    <s v="-"/>
    <s v="AOGNC"/>
    <m/>
    <s v="AOGNC"/>
    <x v="1"/>
    <n v="4"/>
    <s v="Mission (Mission)"/>
    <s v="Space_Seg (Space Segment)"/>
    <x v="2"/>
    <x v="46"/>
    <m/>
  </r>
  <r>
    <s v="Mission.Space_Seg.Spacecraft.Star_trckr_2"/>
    <m/>
    <x v="6"/>
    <s v="COM"/>
    <s v="\Mission.Space_Seg.Spacecraft.Star_trckr_2\P_duty_cyc\COM\default"/>
    <n v="1"/>
    <m/>
    <m/>
    <s v="-"/>
    <s v="AOGNC"/>
    <m/>
    <s v="AOGNC"/>
    <x v="1"/>
    <n v="4"/>
    <s v="Mission (Mission)"/>
    <s v="Space_Seg (Space Segment)"/>
    <x v="2"/>
    <x v="46"/>
    <m/>
  </r>
  <r>
    <s v="Mission.Space_Seg.Spacecraft.Star_trckr_2"/>
    <m/>
    <x v="6"/>
    <s v="INJ"/>
    <s v="\Mission.Space_Seg.Spacecraft.Star_trckr_2\P_duty_cyc\INJ\default"/>
    <n v="1"/>
    <m/>
    <m/>
    <s v="-"/>
    <s v="AOGNC"/>
    <m/>
    <s v="AOGNC"/>
    <x v="1"/>
    <n v="4"/>
    <s v="Mission (Mission)"/>
    <s v="Space_Seg (Space Segment)"/>
    <x v="2"/>
    <x v="46"/>
    <m/>
  </r>
  <r>
    <s v="Mission.Space_Seg.Spacecraft.Star_trckr_2"/>
    <m/>
    <x v="6"/>
    <s v="CRU"/>
    <s v="\Mission.Space_Seg.Spacecraft.Star_trckr_2\P_duty_cyc\CRU\default"/>
    <n v="1"/>
    <m/>
    <m/>
    <s v="-"/>
    <s v="AOGNC"/>
    <m/>
    <s v="AOGNC"/>
    <x v="1"/>
    <n v="4"/>
    <s v="Mission (Mission)"/>
    <s v="Space_Seg (Space Segment)"/>
    <x v="2"/>
    <x v="46"/>
    <m/>
  </r>
  <r>
    <s v="Mission.Space_Seg.Spacecraft.Star_trckr_2"/>
    <m/>
    <x v="6"/>
    <s v="DEO"/>
    <s v="\Mission.Space_Seg.Spacecraft.Star_trckr_2\P_duty_cyc\DEO\default"/>
    <n v="1"/>
    <m/>
    <m/>
    <s v="-"/>
    <s v="AOGNC"/>
    <m/>
    <s v="AOGNC"/>
    <x v="1"/>
    <n v="4"/>
    <s v="Mission (Mission)"/>
    <s v="Space_Seg (Space Segment)"/>
    <x v="2"/>
    <x v="46"/>
    <m/>
  </r>
  <r>
    <s v="Mission.Space_Seg.Spacecraft.Star_trckr_2"/>
    <m/>
    <x v="7"/>
    <m/>
    <s v="\Mission.Space_Seg.Spacecraft.Star_trckr_2\redundancy.scheme\\default"/>
    <s v="-"/>
    <m/>
    <m/>
    <m/>
    <s v="AOGNC"/>
    <m/>
    <s v="AOGNC"/>
    <x v="1"/>
    <n v="4"/>
    <s v="Mission (Mission)"/>
    <s v="Space_Seg (Space Segment)"/>
    <x v="2"/>
    <x v="46"/>
    <m/>
  </r>
  <r>
    <s v="Mission.Space_Seg.Spacecraft.Star_trckr_2"/>
    <m/>
    <x v="8"/>
    <m/>
    <s v="\Mission.Space_Seg.Spacecraft.Star_trckr_2\redundancy.type\\default"/>
    <s v="-"/>
    <m/>
    <m/>
    <m/>
    <s v="AOGNC"/>
    <m/>
    <s v="AOGNC"/>
    <x v="1"/>
    <n v="4"/>
    <s v="Mission (Mission)"/>
    <s v="Space_Seg (Space Segment)"/>
    <x v="2"/>
    <x v="46"/>
    <m/>
  </r>
  <r>
    <s v="Mission.Space_Seg.Spacecraft.Star_trckr_2"/>
    <m/>
    <x v="9"/>
    <m/>
    <s v="\Mission.Space_Seg.Spacecraft.Star_trckr_2\redundancy.k\\default"/>
    <n v="1"/>
    <m/>
    <m/>
    <m/>
    <s v="AOGNC"/>
    <m/>
    <s v="AOGNC"/>
    <x v="1"/>
    <n v="4"/>
    <s v="Mission (Mission)"/>
    <s v="Space_Seg (Space Segment)"/>
    <x v="2"/>
    <x v="46"/>
    <m/>
  </r>
  <r>
    <s v="Mission.Space_Seg.Spacecraft.Star_trckr_2"/>
    <m/>
    <x v="10"/>
    <m/>
    <s v="\Mission.Space_Seg.Spacecraft.Star_trckr_2\redundancy.n\\default"/>
    <n v="2"/>
    <m/>
    <m/>
    <m/>
    <s v="AOGNC"/>
    <m/>
    <s v="AOGNC"/>
    <x v="1"/>
    <n v="4"/>
    <s v="Mission (Mission)"/>
    <s v="Space_Seg (Space Segment)"/>
    <x v="2"/>
    <x v="46"/>
    <m/>
  </r>
  <r>
    <s v="Mission.Space_Seg.Spacecraft.Star_trckr_2"/>
    <m/>
    <x v="11"/>
    <m/>
    <s v="\Mission.Space_Seg.Spacecraft.Star_trckr_2\Temp_oper_max\\default"/>
    <n v="40"/>
    <m/>
    <m/>
    <s v="°C"/>
    <s v="AOGNC"/>
    <m/>
    <s v="AOGNC"/>
    <x v="1"/>
    <n v="4"/>
    <s v="Mission (Mission)"/>
    <s v="Space_Seg (Space Segment)"/>
    <x v="2"/>
    <x v="46"/>
    <m/>
  </r>
  <r>
    <s v="Mission.Space_Seg.Spacecraft.Star_trckr_2"/>
    <m/>
    <x v="12"/>
    <m/>
    <s v="\Mission.Space_Seg.Spacecraft.Star_trckr_2\Temp_oper_min\\default"/>
    <n v="-30"/>
    <m/>
    <m/>
    <s v="°C"/>
    <s v="AOGNC"/>
    <m/>
    <s v="AOGNC"/>
    <x v="1"/>
    <n v="4"/>
    <s v="Mission (Mission)"/>
    <s v="Space_Seg (Space Segment)"/>
    <x v="2"/>
    <x v="46"/>
    <m/>
  </r>
  <r>
    <s v="Mission.Space_Seg.Spacecraft.Star_trckr_2"/>
    <m/>
    <x v="13"/>
    <m/>
    <s v="\Mission.Space_Seg.Spacecraft.Star_trckr_2\TRL\\default"/>
    <n v="9"/>
    <m/>
    <m/>
    <m/>
    <s v="AOGNC"/>
    <m/>
    <s v="AOGNC"/>
    <x v="1"/>
    <n v="4"/>
    <s v="Mission (Mission)"/>
    <s v="Space_Seg (Space Segment)"/>
    <x v="2"/>
    <x v="46"/>
    <m/>
  </r>
  <r>
    <s v="Mission.Space_Seg.Spacecraft.Star_trckr_2"/>
    <s v="Dimensions"/>
    <x v="14"/>
    <m/>
    <s v="\Mission.Space_Seg.Spacecraft.Star_trckr_2\wid\\default"/>
    <n v="6.6000000000000003E-2"/>
    <m/>
    <m/>
    <s v="m"/>
    <s v="AOGNC"/>
    <m/>
    <s v="AOGNC"/>
    <x v="1"/>
    <n v="4"/>
    <s v="Mission (Mission)"/>
    <s v="Space_Seg (Space Segment)"/>
    <x v="2"/>
    <x v="46"/>
    <m/>
  </r>
  <r>
    <s v="Mission.Space_Seg.Spacecraft.STRS"/>
    <m/>
    <x v="0"/>
    <m/>
    <s v="\Mission.Space_Seg.Spacecraft.STRS\_name_\\default"/>
    <s v="Structures Subsystem"/>
    <m/>
    <m/>
    <m/>
    <s v="STR"/>
    <m/>
    <s v="STR"/>
    <x v="0"/>
    <n v="4"/>
    <s v="Mission (Mission)"/>
    <s v="Space_Seg (Space Segment)"/>
    <x v="2"/>
    <x v="47"/>
    <m/>
  </r>
  <r>
    <s v="Mission.Space_Seg.Spacecraft.STRS"/>
    <m/>
    <x v="4"/>
    <m/>
    <s v="\Mission.Space_Seg.Spacecraft.STRS\m\\default"/>
    <n v="140"/>
    <n v="20"/>
    <n v="28"/>
    <s v="kg"/>
    <s v="STR"/>
    <m/>
    <s v="STR"/>
    <x v="2"/>
    <n v="4"/>
    <s v="Mission (Mission)"/>
    <s v="Space_Seg (Space Segment)"/>
    <x v="2"/>
    <x v="47"/>
    <m/>
  </r>
  <r>
    <s v="Mission.Space_Seg.Spacecraft.STRS"/>
    <m/>
    <x v="5"/>
    <m/>
    <s v="\Mission.Space_Seg.Spacecraft.STRS\P\\default"/>
    <s v="-"/>
    <m/>
    <m/>
    <s v="W"/>
    <s v="STR"/>
    <m/>
    <s v="STR"/>
    <x v="2"/>
    <n v="4"/>
    <s v="Mission (Mission)"/>
    <s v="Space_Seg (Space Segment)"/>
    <x v="2"/>
    <x v="47"/>
    <m/>
  </r>
  <r>
    <s v="Mission.Space_Seg.Spacecraft.STRS"/>
    <m/>
    <x v="6"/>
    <s v="LAU"/>
    <s v="\Mission.Space_Seg.Spacecraft.STRS\P_duty_cyc\LAU\default"/>
    <s v="-"/>
    <m/>
    <m/>
    <s v="-"/>
    <s v="STR"/>
    <m/>
    <s v="STR"/>
    <x v="2"/>
    <n v="4"/>
    <s v="Mission (Mission)"/>
    <s v="Space_Seg (Space Segment)"/>
    <x v="2"/>
    <x v="47"/>
    <m/>
  </r>
  <r>
    <s v="Mission.Space_Seg.Spacecraft.STRS"/>
    <m/>
    <x v="6"/>
    <s v="SAF"/>
    <s v="\Mission.Space_Seg.Spacecraft.STRS\P_duty_cyc\SAF\default"/>
    <s v="-"/>
    <m/>
    <m/>
    <s v="-"/>
    <s v="STR"/>
    <m/>
    <s v="STR"/>
    <x v="2"/>
    <n v="4"/>
    <s v="Mission (Mission)"/>
    <s v="Space_Seg (Space Segment)"/>
    <x v="2"/>
    <x v="47"/>
    <m/>
  </r>
  <r>
    <s v="Mission.Space_Seg.Spacecraft.STRS"/>
    <m/>
    <x v="6"/>
    <s v="OBS"/>
    <s v="\Mission.Space_Seg.Spacecraft.STRS\P_duty_cyc\OBS\default"/>
    <s v="-"/>
    <m/>
    <m/>
    <s v="-"/>
    <s v="STR"/>
    <m/>
    <s v="STR"/>
    <x v="2"/>
    <n v="4"/>
    <s v="Mission (Mission)"/>
    <s v="Space_Seg (Space Segment)"/>
    <x v="2"/>
    <x v="47"/>
    <m/>
  </r>
  <r>
    <s v="Mission.Space_Seg.Spacecraft.STRS"/>
    <m/>
    <x v="6"/>
    <s v="COM"/>
    <s v="\Mission.Space_Seg.Spacecraft.STRS\P_duty_cyc\COM\default"/>
    <s v="-"/>
    <m/>
    <m/>
    <s v="-"/>
    <s v="STR"/>
    <m/>
    <s v="STR"/>
    <x v="2"/>
    <n v="4"/>
    <s v="Mission (Mission)"/>
    <s v="Space_Seg (Space Segment)"/>
    <x v="2"/>
    <x v="47"/>
    <m/>
  </r>
  <r>
    <s v="Mission.Space_Seg.Spacecraft.STRS"/>
    <m/>
    <x v="6"/>
    <s v="INJ"/>
    <s v="\Mission.Space_Seg.Spacecraft.STRS\P_duty_cyc\INJ\default"/>
    <s v="-"/>
    <m/>
    <m/>
    <s v="-"/>
    <s v="STR"/>
    <m/>
    <s v="STR"/>
    <x v="2"/>
    <n v="4"/>
    <s v="Mission (Mission)"/>
    <s v="Space_Seg (Space Segment)"/>
    <x v="2"/>
    <x v="47"/>
    <m/>
  </r>
  <r>
    <s v="Mission.Space_Seg.Spacecraft.STRS"/>
    <m/>
    <x v="6"/>
    <s v="CRU"/>
    <s v="\Mission.Space_Seg.Spacecraft.STRS\P_duty_cyc\CRU\default"/>
    <s v="-"/>
    <m/>
    <m/>
    <s v="-"/>
    <s v="STR"/>
    <m/>
    <s v="STR"/>
    <x v="2"/>
    <n v="4"/>
    <s v="Mission (Mission)"/>
    <s v="Space_Seg (Space Segment)"/>
    <x v="2"/>
    <x v="47"/>
    <m/>
  </r>
  <r>
    <s v="Mission.Space_Seg.Spacecraft.STRS"/>
    <m/>
    <x v="6"/>
    <s v="DEO"/>
    <s v="\Mission.Space_Seg.Spacecraft.STRS\P_duty_cyc\DEO\default"/>
    <s v="-"/>
    <m/>
    <m/>
    <s v="-"/>
    <s v="STR"/>
    <m/>
    <s v="STR"/>
    <x v="2"/>
    <n v="4"/>
    <s v="Mission (Mission)"/>
    <s v="Space_Seg (Space Segment)"/>
    <x v="2"/>
    <x v="47"/>
    <m/>
  </r>
  <r>
    <s v="Mission.Space_Seg.Spacecraft.Sun_Snsr_1"/>
    <m/>
    <x v="0"/>
    <m/>
    <s v="\Mission.Space_Seg.Spacecraft.Sun_Snsr_1\_name_\\default"/>
    <s v="Sun Sensor #1"/>
    <m/>
    <m/>
    <m/>
    <s v="AOGNC"/>
    <m/>
    <s v="AOGNC"/>
    <x v="0"/>
    <n v="4"/>
    <s v="Mission (Mission)"/>
    <s v="Space_Seg (Space Segment)"/>
    <x v="2"/>
    <x v="48"/>
    <m/>
  </r>
  <r>
    <s v="Mission.Space_Seg.Spacecraft.Sun_Snsr_1"/>
    <s v="Dimensions"/>
    <x v="1"/>
    <m/>
    <s v="\Mission.Space_Seg.Spacecraft.Sun_Snsr_1\diam\\default"/>
    <s v="-"/>
    <m/>
    <m/>
    <s v="m"/>
    <s v="AOGNC"/>
    <m/>
    <s v="AOGNC"/>
    <x v="1"/>
    <n v="4"/>
    <s v="Mission (Mission)"/>
    <s v="Space_Seg (Space Segment)"/>
    <x v="2"/>
    <x v="48"/>
    <m/>
  </r>
  <r>
    <s v="Mission.Space_Seg.Spacecraft.Sun_Snsr_1"/>
    <s v="Dimensions"/>
    <x v="2"/>
    <m/>
    <s v="\Mission.Space_Seg.Spacecraft.Sun_Snsr_1\height\\default"/>
    <n v="5.2999999999999999E-2"/>
    <m/>
    <m/>
    <s v="m"/>
    <s v="AOGNC"/>
    <m/>
    <s v="AOGNC"/>
    <x v="1"/>
    <n v="4"/>
    <s v="Mission (Mission)"/>
    <s v="Space_Seg (Space Segment)"/>
    <x v="2"/>
    <x v="48"/>
    <m/>
  </r>
  <r>
    <s v="Mission.Space_Seg.Spacecraft.Sun_Snsr_1"/>
    <m/>
    <x v="32"/>
    <m/>
    <s v="\Mission.Space_Seg.Spacecraft.Sun_Snsr_1\know_pointing\\default"/>
    <n v="1.6999999999999999E-3"/>
    <m/>
    <m/>
    <s v="rad"/>
    <s v="AOGNC"/>
    <m/>
    <s v="AOGNC"/>
    <x v="1"/>
    <n v="4"/>
    <s v="Mission (Mission)"/>
    <s v="Space_Seg (Space Segment)"/>
    <x v="2"/>
    <x v="48"/>
    <m/>
  </r>
  <r>
    <s v="Mission.Space_Seg.Spacecraft.Sun_Snsr_1"/>
    <s v="Dimensions"/>
    <x v="3"/>
    <m/>
    <s v="\Mission.Space_Seg.Spacecraft.Sun_Snsr_1\len\\default"/>
    <n v="9.6000000000000002E-2"/>
    <m/>
    <m/>
    <s v="m"/>
    <s v="AOGNC"/>
    <m/>
    <s v="AOGNC"/>
    <x v="1"/>
    <n v="4"/>
    <s v="Mission (Mission)"/>
    <s v="Space_Seg (Space Segment)"/>
    <x v="2"/>
    <x v="48"/>
    <m/>
  </r>
  <r>
    <s v="Mission.Space_Seg.Spacecraft.Sun_Snsr_1"/>
    <m/>
    <x v="4"/>
    <m/>
    <s v="\Mission.Space_Seg.Spacecraft.Sun_Snsr_1\m\\default"/>
    <n v="0.3"/>
    <n v="5"/>
    <n v="1.4999999999999999E-2"/>
    <s v="kg"/>
    <s v="AOGNC"/>
    <m/>
    <s v="AOGNC"/>
    <x v="1"/>
    <n v="4"/>
    <s v="Mission (Mission)"/>
    <s v="Space_Seg (Space Segment)"/>
    <x v="2"/>
    <x v="48"/>
    <m/>
  </r>
  <r>
    <s v="Mission.Space_Seg.Spacecraft.Sun_Snsr_1"/>
    <m/>
    <x v="5"/>
    <m/>
    <s v="\Mission.Space_Seg.Spacecraft.Sun_Snsr_1\P\\default"/>
    <n v="0.5"/>
    <m/>
    <m/>
    <s v="W"/>
    <s v="AOGNC"/>
    <m/>
    <s v="AOGNC"/>
    <x v="1"/>
    <n v="4"/>
    <s v="Mission (Mission)"/>
    <s v="Space_Seg (Space Segment)"/>
    <x v="2"/>
    <x v="48"/>
    <m/>
  </r>
  <r>
    <s v="Mission.Space_Seg.Spacecraft.Sun_Snsr_1"/>
    <m/>
    <x v="6"/>
    <s v="LAU"/>
    <s v="\Mission.Space_Seg.Spacecraft.Sun_Snsr_1\P_duty_cyc\LAU\default"/>
    <n v="-1"/>
    <m/>
    <m/>
    <s v="-"/>
    <s v="AOGNC"/>
    <m/>
    <s v="AOGNC"/>
    <x v="1"/>
    <n v="4"/>
    <s v="Mission (Mission)"/>
    <s v="Space_Seg (Space Segment)"/>
    <x v="2"/>
    <x v="48"/>
    <m/>
  </r>
  <r>
    <s v="Mission.Space_Seg.Spacecraft.Sun_Snsr_1"/>
    <m/>
    <x v="6"/>
    <s v="SAF"/>
    <s v="\Mission.Space_Seg.Spacecraft.Sun_Snsr_1\P_duty_cyc\SAF\default"/>
    <n v="1"/>
    <m/>
    <m/>
    <s v="-"/>
    <s v="AOGNC"/>
    <m/>
    <s v="AOGNC"/>
    <x v="1"/>
    <n v="4"/>
    <s v="Mission (Mission)"/>
    <s v="Space_Seg (Space Segment)"/>
    <x v="2"/>
    <x v="48"/>
    <m/>
  </r>
  <r>
    <s v="Mission.Space_Seg.Spacecraft.Sun_Snsr_1"/>
    <m/>
    <x v="6"/>
    <s v="OBS"/>
    <s v="\Mission.Space_Seg.Spacecraft.Sun_Snsr_1\P_duty_cyc\OBS\default"/>
    <n v="1"/>
    <m/>
    <m/>
    <s v="-"/>
    <s v="AOGNC"/>
    <m/>
    <s v="AOGNC"/>
    <x v="1"/>
    <n v="4"/>
    <s v="Mission (Mission)"/>
    <s v="Space_Seg (Space Segment)"/>
    <x v="2"/>
    <x v="48"/>
    <m/>
  </r>
  <r>
    <s v="Mission.Space_Seg.Spacecraft.Sun_Snsr_1"/>
    <m/>
    <x v="6"/>
    <s v="COM"/>
    <s v="\Mission.Space_Seg.Spacecraft.Sun_Snsr_1\P_duty_cyc\COM\default"/>
    <n v="1"/>
    <m/>
    <m/>
    <s v="-"/>
    <s v="AOGNC"/>
    <m/>
    <s v="AOGNC"/>
    <x v="1"/>
    <n v="4"/>
    <s v="Mission (Mission)"/>
    <s v="Space_Seg (Space Segment)"/>
    <x v="2"/>
    <x v="48"/>
    <m/>
  </r>
  <r>
    <s v="Mission.Space_Seg.Spacecraft.Sun_Snsr_1"/>
    <m/>
    <x v="6"/>
    <s v="INJ"/>
    <s v="\Mission.Space_Seg.Spacecraft.Sun_Snsr_1\P_duty_cyc\INJ\default"/>
    <n v="1"/>
    <m/>
    <m/>
    <s v="-"/>
    <s v="AOGNC"/>
    <m/>
    <s v="AOGNC"/>
    <x v="1"/>
    <n v="4"/>
    <s v="Mission (Mission)"/>
    <s v="Space_Seg (Space Segment)"/>
    <x v="2"/>
    <x v="48"/>
    <m/>
  </r>
  <r>
    <s v="Mission.Space_Seg.Spacecraft.Sun_Snsr_1"/>
    <m/>
    <x v="6"/>
    <s v="CRU"/>
    <s v="\Mission.Space_Seg.Spacecraft.Sun_Snsr_1\P_duty_cyc\CRU\default"/>
    <n v="1"/>
    <m/>
    <m/>
    <s v="-"/>
    <s v="AOGNC"/>
    <m/>
    <s v="AOGNC"/>
    <x v="1"/>
    <n v="4"/>
    <s v="Mission (Mission)"/>
    <s v="Space_Seg (Space Segment)"/>
    <x v="2"/>
    <x v="48"/>
    <m/>
  </r>
  <r>
    <s v="Mission.Space_Seg.Spacecraft.Sun_Snsr_1"/>
    <m/>
    <x v="6"/>
    <s v="DEO"/>
    <s v="\Mission.Space_Seg.Spacecraft.Sun_Snsr_1\P_duty_cyc\DEO\default"/>
    <n v="1"/>
    <m/>
    <m/>
    <s v="-"/>
    <s v="AOGNC"/>
    <m/>
    <s v="AOGNC"/>
    <x v="1"/>
    <n v="4"/>
    <s v="Mission (Mission)"/>
    <s v="Space_Seg (Space Segment)"/>
    <x v="2"/>
    <x v="48"/>
    <m/>
  </r>
  <r>
    <s v="Mission.Space_Seg.Spacecraft.Sun_Snsr_1"/>
    <m/>
    <x v="7"/>
    <m/>
    <s v="\Mission.Space_Seg.Spacecraft.Sun_Snsr_1\redundancy.scheme\\default"/>
    <s v="-"/>
    <m/>
    <m/>
    <m/>
    <s v="AOGNC"/>
    <m/>
    <s v="AOGNC"/>
    <x v="1"/>
    <n v="4"/>
    <s v="Mission (Mission)"/>
    <s v="Space_Seg (Space Segment)"/>
    <x v="2"/>
    <x v="48"/>
    <m/>
  </r>
  <r>
    <s v="Mission.Space_Seg.Spacecraft.Sun_Snsr_1"/>
    <m/>
    <x v="8"/>
    <m/>
    <s v="\Mission.Space_Seg.Spacecraft.Sun_Snsr_1\redundancy.type\\default"/>
    <s v="-"/>
    <m/>
    <m/>
    <m/>
    <s v="AOGNC"/>
    <m/>
    <s v="AOGNC"/>
    <x v="1"/>
    <n v="4"/>
    <s v="Mission (Mission)"/>
    <s v="Space_Seg (Space Segment)"/>
    <x v="2"/>
    <x v="48"/>
    <m/>
  </r>
  <r>
    <s v="Mission.Space_Seg.Spacecraft.Sun_Snsr_1"/>
    <m/>
    <x v="9"/>
    <m/>
    <s v="\Mission.Space_Seg.Spacecraft.Sun_Snsr_1\redundancy.k\\default"/>
    <n v="0"/>
    <m/>
    <m/>
    <m/>
    <s v="AOGNC"/>
    <m/>
    <s v="AOGNC"/>
    <x v="1"/>
    <n v="4"/>
    <s v="Mission (Mission)"/>
    <s v="Space_Seg (Space Segment)"/>
    <x v="2"/>
    <x v="48"/>
    <m/>
  </r>
  <r>
    <s v="Mission.Space_Seg.Spacecraft.Sun_Snsr_1"/>
    <m/>
    <x v="10"/>
    <m/>
    <s v="\Mission.Space_Seg.Spacecraft.Sun_Snsr_1\redundancy.n\\default"/>
    <n v="6"/>
    <m/>
    <m/>
    <m/>
    <s v="AOGNC"/>
    <m/>
    <s v="AOGNC"/>
    <x v="1"/>
    <n v="4"/>
    <s v="Mission (Mission)"/>
    <s v="Space_Seg (Space Segment)"/>
    <x v="2"/>
    <x v="48"/>
    <m/>
  </r>
  <r>
    <s v="Mission.Space_Seg.Spacecraft.Sun_Snsr_1"/>
    <m/>
    <x v="11"/>
    <m/>
    <s v="\Mission.Space_Seg.Spacecraft.Sun_Snsr_1\Temp_oper_max\\default"/>
    <s v="-"/>
    <m/>
    <m/>
    <s v="°C"/>
    <s v="AOGNC"/>
    <m/>
    <s v="AOGNC"/>
    <x v="1"/>
    <n v="4"/>
    <s v="Mission (Mission)"/>
    <s v="Space_Seg (Space Segment)"/>
    <x v="2"/>
    <x v="48"/>
    <m/>
  </r>
  <r>
    <s v="Mission.Space_Seg.Spacecraft.Sun_Snsr_1"/>
    <m/>
    <x v="12"/>
    <m/>
    <s v="\Mission.Space_Seg.Spacecraft.Sun_Snsr_1\Temp_oper_min\\default"/>
    <s v="-"/>
    <m/>
    <m/>
    <s v="°C"/>
    <s v="AOGNC"/>
    <m/>
    <s v="AOGNC"/>
    <x v="1"/>
    <n v="4"/>
    <s v="Mission (Mission)"/>
    <s v="Space_Seg (Space Segment)"/>
    <x v="2"/>
    <x v="48"/>
    <m/>
  </r>
  <r>
    <s v="Mission.Space_Seg.Spacecraft.Sun_Snsr_1"/>
    <m/>
    <x v="13"/>
    <m/>
    <s v="\Mission.Space_Seg.Spacecraft.Sun_Snsr_1\TRL\\default"/>
    <n v="9"/>
    <m/>
    <m/>
    <m/>
    <s v="AOGNC"/>
    <m/>
    <s v="AOGNC"/>
    <x v="1"/>
    <n v="4"/>
    <s v="Mission (Mission)"/>
    <s v="Space_Seg (Space Segment)"/>
    <x v="2"/>
    <x v="48"/>
    <m/>
  </r>
  <r>
    <s v="Mission.Space_Seg.Spacecraft.Sun_Snsr_1"/>
    <s v="Dimensions"/>
    <x v="14"/>
    <m/>
    <s v="\Mission.Space_Seg.Spacecraft.Sun_Snsr_1\wid\\default"/>
    <n v="9.4E-2"/>
    <m/>
    <m/>
    <s v="m"/>
    <s v="AOGNC"/>
    <m/>
    <s v="AOGNC"/>
    <x v="1"/>
    <n v="4"/>
    <s v="Mission (Mission)"/>
    <s v="Space_Seg (Space Segment)"/>
    <x v="2"/>
    <x v="48"/>
    <m/>
  </r>
  <r>
    <s v="Mission.Space_Seg.Spacecraft.Sun_Snsr_2"/>
    <m/>
    <x v="0"/>
    <m/>
    <s v="\Mission.Space_Seg.Spacecraft.Sun_Snsr_2\_name_\\default"/>
    <s v="Sun Sensor #2"/>
    <m/>
    <m/>
    <m/>
    <s v="AOGNC"/>
    <m/>
    <s v="AOGNC"/>
    <x v="0"/>
    <n v="4"/>
    <s v="Mission (Mission)"/>
    <s v="Space_Seg (Space Segment)"/>
    <x v="2"/>
    <x v="49"/>
    <m/>
  </r>
  <r>
    <s v="Mission.Space_Seg.Spacecraft.Sun_Snsr_2"/>
    <s v="Dimensions"/>
    <x v="1"/>
    <m/>
    <s v="\Mission.Space_Seg.Spacecraft.Sun_Snsr_2\diam\\default"/>
    <s v="-"/>
    <m/>
    <m/>
    <s v="m"/>
    <s v="AOGNC"/>
    <m/>
    <s v="AOGNC"/>
    <x v="1"/>
    <n v="4"/>
    <s v="Mission (Mission)"/>
    <s v="Space_Seg (Space Segment)"/>
    <x v="2"/>
    <x v="49"/>
    <m/>
  </r>
  <r>
    <s v="Mission.Space_Seg.Spacecraft.Sun_Snsr_2"/>
    <s v="Dimensions"/>
    <x v="2"/>
    <m/>
    <s v="\Mission.Space_Seg.Spacecraft.Sun_Snsr_2\height\\default"/>
    <n v="5.2999999999999999E-2"/>
    <m/>
    <m/>
    <s v="m"/>
    <s v="AOGNC"/>
    <m/>
    <s v="AOGNC"/>
    <x v="1"/>
    <n v="4"/>
    <s v="Mission (Mission)"/>
    <s v="Space_Seg (Space Segment)"/>
    <x v="2"/>
    <x v="49"/>
    <m/>
  </r>
  <r>
    <s v="Mission.Space_Seg.Spacecraft.Sun_Snsr_2"/>
    <m/>
    <x v="32"/>
    <m/>
    <s v="\Mission.Space_Seg.Spacecraft.Sun_Snsr_2\know_pointing\\default"/>
    <n v="1.6999999999999999E-3"/>
    <m/>
    <m/>
    <s v="rad"/>
    <s v="AOGNC"/>
    <m/>
    <s v="AOGNC"/>
    <x v="1"/>
    <n v="4"/>
    <s v="Mission (Mission)"/>
    <s v="Space_Seg (Space Segment)"/>
    <x v="2"/>
    <x v="49"/>
    <m/>
  </r>
  <r>
    <s v="Mission.Space_Seg.Spacecraft.Sun_Snsr_2"/>
    <s v="Dimensions"/>
    <x v="3"/>
    <m/>
    <s v="\Mission.Space_Seg.Spacecraft.Sun_Snsr_2\len\\default"/>
    <n v="9.6000000000000002E-2"/>
    <m/>
    <m/>
    <s v="m"/>
    <s v="AOGNC"/>
    <m/>
    <s v="AOGNC"/>
    <x v="1"/>
    <n v="4"/>
    <s v="Mission (Mission)"/>
    <s v="Space_Seg (Space Segment)"/>
    <x v="2"/>
    <x v="49"/>
    <m/>
  </r>
  <r>
    <s v="Mission.Space_Seg.Spacecraft.Sun_Snsr_2"/>
    <m/>
    <x v="4"/>
    <m/>
    <s v="\Mission.Space_Seg.Spacecraft.Sun_Snsr_2\m\\default"/>
    <n v="0.3"/>
    <n v="5"/>
    <n v="1.4999999999999999E-2"/>
    <s v="kg"/>
    <s v="AOGNC"/>
    <m/>
    <s v="AOGNC"/>
    <x v="1"/>
    <n v="4"/>
    <s v="Mission (Mission)"/>
    <s v="Space_Seg (Space Segment)"/>
    <x v="2"/>
    <x v="49"/>
    <m/>
  </r>
  <r>
    <s v="Mission.Space_Seg.Spacecraft.Sun_Snsr_2"/>
    <m/>
    <x v="5"/>
    <m/>
    <s v="\Mission.Space_Seg.Spacecraft.Sun_Snsr_2\P\\default"/>
    <n v="0.5"/>
    <m/>
    <m/>
    <s v="W"/>
    <s v="AOGNC"/>
    <m/>
    <s v="AOGNC"/>
    <x v="1"/>
    <n v="4"/>
    <s v="Mission (Mission)"/>
    <s v="Space_Seg (Space Segment)"/>
    <x v="2"/>
    <x v="49"/>
    <m/>
  </r>
  <r>
    <s v="Mission.Space_Seg.Spacecraft.Sun_Snsr_2"/>
    <m/>
    <x v="6"/>
    <s v="LAU"/>
    <s v="\Mission.Space_Seg.Spacecraft.Sun_Snsr_2\P_duty_cyc\LAU\default"/>
    <n v="-1"/>
    <m/>
    <m/>
    <s v="-"/>
    <s v="AOGNC"/>
    <m/>
    <s v="AOGNC"/>
    <x v="1"/>
    <n v="4"/>
    <s v="Mission (Mission)"/>
    <s v="Space_Seg (Space Segment)"/>
    <x v="2"/>
    <x v="49"/>
    <m/>
  </r>
  <r>
    <s v="Mission.Space_Seg.Spacecraft.Sun_Snsr_2"/>
    <m/>
    <x v="6"/>
    <s v="SAF"/>
    <s v="\Mission.Space_Seg.Spacecraft.Sun_Snsr_2\P_duty_cyc\SAF\default"/>
    <n v="1"/>
    <m/>
    <m/>
    <s v="-"/>
    <s v="AOGNC"/>
    <m/>
    <s v="AOGNC"/>
    <x v="1"/>
    <n v="4"/>
    <s v="Mission (Mission)"/>
    <s v="Space_Seg (Space Segment)"/>
    <x v="2"/>
    <x v="49"/>
    <m/>
  </r>
  <r>
    <s v="Mission.Space_Seg.Spacecraft.Sun_Snsr_2"/>
    <m/>
    <x v="6"/>
    <s v="OBS"/>
    <s v="\Mission.Space_Seg.Spacecraft.Sun_Snsr_2\P_duty_cyc\OBS\default"/>
    <n v="1"/>
    <m/>
    <m/>
    <s v="-"/>
    <s v="AOGNC"/>
    <m/>
    <s v="AOGNC"/>
    <x v="1"/>
    <n v="4"/>
    <s v="Mission (Mission)"/>
    <s v="Space_Seg (Space Segment)"/>
    <x v="2"/>
    <x v="49"/>
    <m/>
  </r>
  <r>
    <s v="Mission.Space_Seg.Spacecraft.Sun_Snsr_2"/>
    <m/>
    <x v="6"/>
    <s v="COM"/>
    <s v="\Mission.Space_Seg.Spacecraft.Sun_Snsr_2\P_duty_cyc\COM\default"/>
    <n v="1"/>
    <m/>
    <m/>
    <s v="-"/>
    <s v="AOGNC"/>
    <m/>
    <s v="AOGNC"/>
    <x v="1"/>
    <n v="4"/>
    <s v="Mission (Mission)"/>
    <s v="Space_Seg (Space Segment)"/>
    <x v="2"/>
    <x v="49"/>
    <m/>
  </r>
  <r>
    <s v="Mission.Space_Seg.Spacecraft.Sun_Snsr_2"/>
    <m/>
    <x v="6"/>
    <s v="INJ"/>
    <s v="\Mission.Space_Seg.Spacecraft.Sun_Snsr_2\P_duty_cyc\INJ\default"/>
    <n v="1"/>
    <m/>
    <m/>
    <s v="-"/>
    <s v="AOGNC"/>
    <m/>
    <s v="AOGNC"/>
    <x v="1"/>
    <n v="4"/>
    <s v="Mission (Mission)"/>
    <s v="Space_Seg (Space Segment)"/>
    <x v="2"/>
    <x v="49"/>
    <m/>
  </r>
  <r>
    <s v="Mission.Space_Seg.Spacecraft.Sun_Snsr_2"/>
    <m/>
    <x v="6"/>
    <s v="CRU"/>
    <s v="\Mission.Space_Seg.Spacecraft.Sun_Snsr_2\P_duty_cyc\CRU\default"/>
    <n v="1"/>
    <m/>
    <m/>
    <s v="-"/>
    <s v="AOGNC"/>
    <m/>
    <s v="AOGNC"/>
    <x v="1"/>
    <n v="4"/>
    <s v="Mission (Mission)"/>
    <s v="Space_Seg (Space Segment)"/>
    <x v="2"/>
    <x v="49"/>
    <m/>
  </r>
  <r>
    <s v="Mission.Space_Seg.Spacecraft.Sun_Snsr_2"/>
    <m/>
    <x v="6"/>
    <s v="DEO"/>
    <s v="\Mission.Space_Seg.Spacecraft.Sun_Snsr_2\P_duty_cyc\DEO\default"/>
    <n v="1"/>
    <m/>
    <m/>
    <s v="-"/>
    <s v="AOGNC"/>
    <m/>
    <s v="AOGNC"/>
    <x v="1"/>
    <n v="4"/>
    <s v="Mission (Mission)"/>
    <s v="Space_Seg (Space Segment)"/>
    <x v="2"/>
    <x v="49"/>
    <m/>
  </r>
  <r>
    <s v="Mission.Space_Seg.Spacecraft.Sun_Snsr_2"/>
    <m/>
    <x v="7"/>
    <m/>
    <s v="\Mission.Space_Seg.Spacecraft.Sun_Snsr_2\redundancy.scheme\\default"/>
    <s v="-"/>
    <m/>
    <m/>
    <m/>
    <s v="AOGNC"/>
    <m/>
    <s v="AOGNC"/>
    <x v="1"/>
    <n v="4"/>
    <s v="Mission (Mission)"/>
    <s v="Space_Seg (Space Segment)"/>
    <x v="2"/>
    <x v="49"/>
    <m/>
  </r>
  <r>
    <s v="Mission.Space_Seg.Spacecraft.Sun_Snsr_2"/>
    <m/>
    <x v="8"/>
    <m/>
    <s v="\Mission.Space_Seg.Spacecraft.Sun_Snsr_2\redundancy.type\\default"/>
    <s v="-"/>
    <m/>
    <m/>
    <m/>
    <s v="AOGNC"/>
    <m/>
    <s v="AOGNC"/>
    <x v="1"/>
    <n v="4"/>
    <s v="Mission (Mission)"/>
    <s v="Space_Seg (Space Segment)"/>
    <x v="2"/>
    <x v="49"/>
    <m/>
  </r>
  <r>
    <s v="Mission.Space_Seg.Spacecraft.Sun_Snsr_2"/>
    <m/>
    <x v="9"/>
    <m/>
    <s v="\Mission.Space_Seg.Spacecraft.Sun_Snsr_2\redundancy.k\\default"/>
    <n v="0"/>
    <m/>
    <m/>
    <m/>
    <s v="AOGNC"/>
    <m/>
    <s v="AOGNC"/>
    <x v="1"/>
    <n v="4"/>
    <s v="Mission (Mission)"/>
    <s v="Space_Seg (Space Segment)"/>
    <x v="2"/>
    <x v="49"/>
    <m/>
  </r>
  <r>
    <s v="Mission.Space_Seg.Spacecraft.Sun_Snsr_2"/>
    <m/>
    <x v="10"/>
    <m/>
    <s v="\Mission.Space_Seg.Spacecraft.Sun_Snsr_2\redundancy.n\\default"/>
    <n v="6"/>
    <m/>
    <m/>
    <m/>
    <s v="AOGNC"/>
    <m/>
    <s v="AOGNC"/>
    <x v="1"/>
    <n v="4"/>
    <s v="Mission (Mission)"/>
    <s v="Space_Seg (Space Segment)"/>
    <x v="2"/>
    <x v="49"/>
    <m/>
  </r>
  <r>
    <s v="Mission.Space_Seg.Spacecraft.Sun_Snsr_2"/>
    <m/>
    <x v="11"/>
    <m/>
    <s v="\Mission.Space_Seg.Spacecraft.Sun_Snsr_2\Temp_oper_max\\default"/>
    <s v="-"/>
    <m/>
    <m/>
    <s v="°C"/>
    <s v="AOGNC"/>
    <m/>
    <s v="AOGNC"/>
    <x v="1"/>
    <n v="4"/>
    <s v="Mission (Mission)"/>
    <s v="Space_Seg (Space Segment)"/>
    <x v="2"/>
    <x v="49"/>
    <m/>
  </r>
  <r>
    <s v="Mission.Space_Seg.Spacecraft.Sun_Snsr_2"/>
    <m/>
    <x v="12"/>
    <m/>
    <s v="\Mission.Space_Seg.Spacecraft.Sun_Snsr_2\Temp_oper_min\\default"/>
    <s v="-"/>
    <m/>
    <m/>
    <s v="°C"/>
    <s v="AOGNC"/>
    <m/>
    <s v="AOGNC"/>
    <x v="1"/>
    <n v="4"/>
    <s v="Mission (Mission)"/>
    <s v="Space_Seg (Space Segment)"/>
    <x v="2"/>
    <x v="49"/>
    <m/>
  </r>
  <r>
    <s v="Mission.Space_Seg.Spacecraft.Sun_Snsr_2"/>
    <m/>
    <x v="13"/>
    <m/>
    <s v="\Mission.Space_Seg.Spacecraft.Sun_Snsr_2\TRL\\default"/>
    <n v="9"/>
    <m/>
    <m/>
    <m/>
    <s v="AOGNC"/>
    <m/>
    <s v="AOGNC"/>
    <x v="1"/>
    <n v="4"/>
    <s v="Mission (Mission)"/>
    <s v="Space_Seg (Space Segment)"/>
    <x v="2"/>
    <x v="49"/>
    <m/>
  </r>
  <r>
    <s v="Mission.Space_Seg.Spacecraft.Sun_Snsr_2"/>
    <s v="Dimensions"/>
    <x v="14"/>
    <m/>
    <s v="\Mission.Space_Seg.Spacecraft.Sun_Snsr_2\wid\\default"/>
    <n v="9.4E-2"/>
    <m/>
    <m/>
    <s v="m"/>
    <s v="AOGNC"/>
    <m/>
    <s v="AOGNC"/>
    <x v="1"/>
    <n v="4"/>
    <s v="Mission (Mission)"/>
    <s v="Space_Seg (Space Segment)"/>
    <x v="2"/>
    <x v="49"/>
    <m/>
  </r>
  <r>
    <s v="Mission.Space_Seg.Spacecraft.Sun_Snsr_3"/>
    <m/>
    <x v="0"/>
    <m/>
    <s v="\Mission.Space_Seg.Spacecraft.Sun_Snsr_3\_name_\\default"/>
    <s v="Sun Sensor #3"/>
    <m/>
    <m/>
    <m/>
    <s v="AOGNC"/>
    <m/>
    <s v="AOGNC"/>
    <x v="0"/>
    <n v="4"/>
    <s v="Mission (Mission)"/>
    <s v="Space_Seg (Space Segment)"/>
    <x v="2"/>
    <x v="50"/>
    <m/>
  </r>
  <r>
    <s v="Mission.Space_Seg.Spacecraft.Sun_Snsr_3"/>
    <s v="Dimensions"/>
    <x v="1"/>
    <m/>
    <s v="\Mission.Space_Seg.Spacecraft.Sun_Snsr_3\diam\\default"/>
    <s v="-"/>
    <m/>
    <m/>
    <s v="m"/>
    <s v="AOGNC"/>
    <m/>
    <s v="AOGNC"/>
    <x v="1"/>
    <n v="4"/>
    <s v="Mission (Mission)"/>
    <s v="Space_Seg (Space Segment)"/>
    <x v="2"/>
    <x v="50"/>
    <m/>
  </r>
  <r>
    <s v="Mission.Space_Seg.Spacecraft.Sun_Snsr_3"/>
    <s v="Dimensions"/>
    <x v="2"/>
    <m/>
    <s v="\Mission.Space_Seg.Spacecraft.Sun_Snsr_3\height\\default"/>
    <n v="5.2999999999999999E-2"/>
    <m/>
    <m/>
    <s v="m"/>
    <s v="AOGNC"/>
    <m/>
    <s v="AOGNC"/>
    <x v="1"/>
    <n v="4"/>
    <s v="Mission (Mission)"/>
    <s v="Space_Seg (Space Segment)"/>
    <x v="2"/>
    <x v="50"/>
    <m/>
  </r>
  <r>
    <s v="Mission.Space_Seg.Spacecraft.Sun_Snsr_3"/>
    <m/>
    <x v="32"/>
    <m/>
    <s v="\Mission.Space_Seg.Spacecraft.Sun_Snsr_3\know_pointing\\default"/>
    <n v="1.6999999999999999E-3"/>
    <m/>
    <m/>
    <s v="rad"/>
    <s v="AOGNC"/>
    <m/>
    <s v="AOGNC"/>
    <x v="1"/>
    <n v="4"/>
    <s v="Mission (Mission)"/>
    <s v="Space_Seg (Space Segment)"/>
    <x v="2"/>
    <x v="50"/>
    <m/>
  </r>
  <r>
    <s v="Mission.Space_Seg.Spacecraft.Sun_Snsr_3"/>
    <s v="Dimensions"/>
    <x v="3"/>
    <m/>
    <s v="\Mission.Space_Seg.Spacecraft.Sun_Snsr_3\len\\default"/>
    <n v="9.6000000000000002E-2"/>
    <m/>
    <m/>
    <s v="m"/>
    <s v="AOGNC"/>
    <m/>
    <s v="AOGNC"/>
    <x v="1"/>
    <n v="4"/>
    <s v="Mission (Mission)"/>
    <s v="Space_Seg (Space Segment)"/>
    <x v="2"/>
    <x v="50"/>
    <m/>
  </r>
  <r>
    <s v="Mission.Space_Seg.Spacecraft.Sun_Snsr_3"/>
    <m/>
    <x v="4"/>
    <m/>
    <s v="\Mission.Space_Seg.Spacecraft.Sun_Snsr_3\m\\default"/>
    <n v="0.3"/>
    <n v="5"/>
    <n v="1.4999999999999999E-2"/>
    <s v="kg"/>
    <s v="AOGNC"/>
    <m/>
    <s v="AOGNC"/>
    <x v="1"/>
    <n v="4"/>
    <s v="Mission (Mission)"/>
    <s v="Space_Seg (Space Segment)"/>
    <x v="2"/>
    <x v="50"/>
    <m/>
  </r>
  <r>
    <s v="Mission.Space_Seg.Spacecraft.Sun_Snsr_3"/>
    <m/>
    <x v="5"/>
    <m/>
    <s v="\Mission.Space_Seg.Spacecraft.Sun_Snsr_3\P\\default"/>
    <n v="0.5"/>
    <m/>
    <m/>
    <s v="W"/>
    <s v="AOGNC"/>
    <m/>
    <s v="AOGNC"/>
    <x v="1"/>
    <n v="4"/>
    <s v="Mission (Mission)"/>
    <s v="Space_Seg (Space Segment)"/>
    <x v="2"/>
    <x v="50"/>
    <m/>
  </r>
  <r>
    <s v="Mission.Space_Seg.Spacecraft.Sun_Snsr_3"/>
    <m/>
    <x v="6"/>
    <s v="LAU"/>
    <s v="\Mission.Space_Seg.Spacecraft.Sun_Snsr_3\P_duty_cyc\LAU\default"/>
    <n v="-1"/>
    <m/>
    <m/>
    <s v="-"/>
    <s v="AOGNC"/>
    <m/>
    <s v="AOGNC"/>
    <x v="1"/>
    <n v="4"/>
    <s v="Mission (Mission)"/>
    <s v="Space_Seg (Space Segment)"/>
    <x v="2"/>
    <x v="50"/>
    <m/>
  </r>
  <r>
    <s v="Mission.Space_Seg.Spacecraft.Sun_Snsr_3"/>
    <m/>
    <x v="6"/>
    <s v="SAF"/>
    <s v="\Mission.Space_Seg.Spacecraft.Sun_Snsr_3\P_duty_cyc\SAF\default"/>
    <n v="1"/>
    <m/>
    <m/>
    <s v="-"/>
    <s v="AOGNC"/>
    <m/>
    <s v="AOGNC"/>
    <x v="1"/>
    <n v="4"/>
    <s v="Mission (Mission)"/>
    <s v="Space_Seg (Space Segment)"/>
    <x v="2"/>
    <x v="50"/>
    <m/>
  </r>
  <r>
    <s v="Mission.Space_Seg.Spacecraft.Sun_Snsr_3"/>
    <m/>
    <x v="6"/>
    <s v="OBS"/>
    <s v="\Mission.Space_Seg.Spacecraft.Sun_Snsr_3\P_duty_cyc\OBS\default"/>
    <n v="1"/>
    <m/>
    <m/>
    <s v="-"/>
    <s v="AOGNC"/>
    <m/>
    <s v="AOGNC"/>
    <x v="1"/>
    <n v="4"/>
    <s v="Mission (Mission)"/>
    <s v="Space_Seg (Space Segment)"/>
    <x v="2"/>
    <x v="50"/>
    <m/>
  </r>
  <r>
    <s v="Mission.Space_Seg.Spacecraft.Sun_Snsr_3"/>
    <m/>
    <x v="6"/>
    <s v="COM"/>
    <s v="\Mission.Space_Seg.Spacecraft.Sun_Snsr_3\P_duty_cyc\COM\default"/>
    <n v="1"/>
    <m/>
    <m/>
    <s v="-"/>
    <s v="AOGNC"/>
    <m/>
    <s v="AOGNC"/>
    <x v="1"/>
    <n v="4"/>
    <s v="Mission (Mission)"/>
    <s v="Space_Seg (Space Segment)"/>
    <x v="2"/>
    <x v="50"/>
    <m/>
  </r>
  <r>
    <s v="Mission.Space_Seg.Spacecraft.Sun_Snsr_3"/>
    <m/>
    <x v="6"/>
    <s v="INJ"/>
    <s v="\Mission.Space_Seg.Spacecraft.Sun_Snsr_3\P_duty_cyc\INJ\default"/>
    <n v="1"/>
    <m/>
    <m/>
    <s v="-"/>
    <s v="AOGNC"/>
    <m/>
    <s v="AOGNC"/>
    <x v="1"/>
    <n v="4"/>
    <s v="Mission (Mission)"/>
    <s v="Space_Seg (Space Segment)"/>
    <x v="2"/>
    <x v="50"/>
    <m/>
  </r>
  <r>
    <s v="Mission.Space_Seg.Spacecraft.Sun_Snsr_3"/>
    <m/>
    <x v="6"/>
    <s v="CRU"/>
    <s v="\Mission.Space_Seg.Spacecraft.Sun_Snsr_3\P_duty_cyc\CRU\default"/>
    <n v="1"/>
    <m/>
    <m/>
    <s v="-"/>
    <s v="AOGNC"/>
    <m/>
    <s v="AOGNC"/>
    <x v="1"/>
    <n v="4"/>
    <s v="Mission (Mission)"/>
    <s v="Space_Seg (Space Segment)"/>
    <x v="2"/>
    <x v="50"/>
    <m/>
  </r>
  <r>
    <s v="Mission.Space_Seg.Spacecraft.Sun_Snsr_3"/>
    <m/>
    <x v="6"/>
    <s v="DEO"/>
    <s v="\Mission.Space_Seg.Spacecraft.Sun_Snsr_3\P_duty_cyc\DEO\default"/>
    <n v="1"/>
    <m/>
    <m/>
    <s v="-"/>
    <s v="AOGNC"/>
    <m/>
    <s v="AOGNC"/>
    <x v="1"/>
    <n v="4"/>
    <s v="Mission (Mission)"/>
    <s v="Space_Seg (Space Segment)"/>
    <x v="2"/>
    <x v="50"/>
    <m/>
  </r>
  <r>
    <s v="Mission.Space_Seg.Spacecraft.Sun_Snsr_3"/>
    <m/>
    <x v="7"/>
    <m/>
    <s v="\Mission.Space_Seg.Spacecraft.Sun_Snsr_3\redundancy.scheme\\default"/>
    <s v="-"/>
    <m/>
    <m/>
    <m/>
    <s v="AOGNC"/>
    <m/>
    <s v="AOGNC"/>
    <x v="1"/>
    <n v="4"/>
    <s v="Mission (Mission)"/>
    <s v="Space_Seg (Space Segment)"/>
    <x v="2"/>
    <x v="50"/>
    <m/>
  </r>
  <r>
    <s v="Mission.Space_Seg.Spacecraft.Sun_Snsr_3"/>
    <m/>
    <x v="8"/>
    <m/>
    <s v="\Mission.Space_Seg.Spacecraft.Sun_Snsr_3\redundancy.type\\default"/>
    <s v="-"/>
    <m/>
    <m/>
    <m/>
    <s v="AOGNC"/>
    <m/>
    <s v="AOGNC"/>
    <x v="1"/>
    <n v="4"/>
    <s v="Mission (Mission)"/>
    <s v="Space_Seg (Space Segment)"/>
    <x v="2"/>
    <x v="50"/>
    <m/>
  </r>
  <r>
    <s v="Mission.Space_Seg.Spacecraft.Sun_Snsr_3"/>
    <m/>
    <x v="9"/>
    <m/>
    <s v="\Mission.Space_Seg.Spacecraft.Sun_Snsr_3\redundancy.k\\default"/>
    <n v="0"/>
    <m/>
    <m/>
    <m/>
    <s v="AOGNC"/>
    <m/>
    <s v="AOGNC"/>
    <x v="1"/>
    <n v="4"/>
    <s v="Mission (Mission)"/>
    <s v="Space_Seg (Space Segment)"/>
    <x v="2"/>
    <x v="50"/>
    <m/>
  </r>
  <r>
    <s v="Mission.Space_Seg.Spacecraft.Sun_Snsr_3"/>
    <m/>
    <x v="10"/>
    <m/>
    <s v="\Mission.Space_Seg.Spacecraft.Sun_Snsr_3\redundancy.n\\default"/>
    <n v="6"/>
    <m/>
    <m/>
    <m/>
    <s v="AOGNC"/>
    <m/>
    <s v="AOGNC"/>
    <x v="1"/>
    <n v="4"/>
    <s v="Mission (Mission)"/>
    <s v="Space_Seg (Space Segment)"/>
    <x v="2"/>
    <x v="50"/>
    <m/>
  </r>
  <r>
    <s v="Mission.Space_Seg.Spacecraft.Sun_Snsr_3"/>
    <m/>
    <x v="11"/>
    <m/>
    <s v="\Mission.Space_Seg.Spacecraft.Sun_Snsr_3\Temp_oper_max\\default"/>
    <s v="-"/>
    <m/>
    <m/>
    <s v="°C"/>
    <s v="AOGNC"/>
    <m/>
    <s v="AOGNC"/>
    <x v="1"/>
    <n v="4"/>
    <s v="Mission (Mission)"/>
    <s v="Space_Seg (Space Segment)"/>
    <x v="2"/>
    <x v="50"/>
    <m/>
  </r>
  <r>
    <s v="Mission.Space_Seg.Spacecraft.Sun_Snsr_3"/>
    <m/>
    <x v="12"/>
    <m/>
    <s v="\Mission.Space_Seg.Spacecraft.Sun_Snsr_3\Temp_oper_min\\default"/>
    <s v="-"/>
    <m/>
    <m/>
    <s v="°C"/>
    <s v="AOGNC"/>
    <m/>
    <s v="AOGNC"/>
    <x v="1"/>
    <n v="4"/>
    <s v="Mission (Mission)"/>
    <s v="Space_Seg (Space Segment)"/>
    <x v="2"/>
    <x v="50"/>
    <m/>
  </r>
  <r>
    <s v="Mission.Space_Seg.Spacecraft.Sun_Snsr_3"/>
    <m/>
    <x v="13"/>
    <m/>
    <s v="\Mission.Space_Seg.Spacecraft.Sun_Snsr_3\TRL\\default"/>
    <n v="9"/>
    <m/>
    <m/>
    <m/>
    <s v="AOGNC"/>
    <m/>
    <s v="AOGNC"/>
    <x v="1"/>
    <n v="4"/>
    <s v="Mission (Mission)"/>
    <s v="Space_Seg (Space Segment)"/>
    <x v="2"/>
    <x v="50"/>
    <m/>
  </r>
  <r>
    <s v="Mission.Space_Seg.Spacecraft.Sun_Snsr_3"/>
    <s v="Dimensions"/>
    <x v="14"/>
    <m/>
    <s v="\Mission.Space_Seg.Spacecraft.Sun_Snsr_3\wid\\default"/>
    <n v="9.4E-2"/>
    <m/>
    <m/>
    <s v="m"/>
    <s v="AOGNC"/>
    <m/>
    <s v="AOGNC"/>
    <x v="1"/>
    <n v="4"/>
    <s v="Mission (Mission)"/>
    <s v="Space_Seg (Space Segment)"/>
    <x v="2"/>
    <x v="50"/>
    <m/>
  </r>
  <r>
    <s v="Mission.Space_Seg.Spacecraft.Sun_Snsr_4"/>
    <m/>
    <x v="0"/>
    <m/>
    <s v="\Mission.Space_Seg.Spacecraft.Sun_Snsr_4\_name_\\default"/>
    <s v="Sun Sensor #4"/>
    <m/>
    <m/>
    <m/>
    <s v="AOGNC"/>
    <m/>
    <s v="AOGNC"/>
    <x v="0"/>
    <n v="4"/>
    <s v="Mission (Mission)"/>
    <s v="Space_Seg (Space Segment)"/>
    <x v="2"/>
    <x v="51"/>
    <m/>
  </r>
  <r>
    <s v="Mission.Space_Seg.Spacecraft.Sun_Snsr_4"/>
    <s v="Dimensions"/>
    <x v="1"/>
    <m/>
    <s v="\Mission.Space_Seg.Spacecraft.Sun_Snsr_4\diam\\default"/>
    <s v="-"/>
    <m/>
    <m/>
    <s v="m"/>
    <s v="AOGNC"/>
    <m/>
    <s v="AOGNC"/>
    <x v="1"/>
    <n v="4"/>
    <s v="Mission (Mission)"/>
    <s v="Space_Seg (Space Segment)"/>
    <x v="2"/>
    <x v="51"/>
    <m/>
  </r>
  <r>
    <s v="Mission.Space_Seg.Spacecraft.Sun_Snsr_4"/>
    <s v="Dimensions"/>
    <x v="2"/>
    <m/>
    <s v="\Mission.Space_Seg.Spacecraft.Sun_Snsr_4\height\\default"/>
    <n v="5.2999999999999999E-2"/>
    <m/>
    <m/>
    <s v="m"/>
    <s v="AOGNC"/>
    <m/>
    <s v="AOGNC"/>
    <x v="1"/>
    <n v="4"/>
    <s v="Mission (Mission)"/>
    <s v="Space_Seg (Space Segment)"/>
    <x v="2"/>
    <x v="51"/>
    <m/>
  </r>
  <r>
    <s v="Mission.Space_Seg.Spacecraft.Sun_Snsr_4"/>
    <m/>
    <x v="32"/>
    <m/>
    <s v="\Mission.Space_Seg.Spacecraft.Sun_Snsr_4\know_pointing\\default"/>
    <n v="1.6999999999999999E-3"/>
    <m/>
    <m/>
    <s v="rad"/>
    <s v="AOGNC"/>
    <m/>
    <s v="AOGNC"/>
    <x v="1"/>
    <n v="4"/>
    <s v="Mission (Mission)"/>
    <s v="Space_Seg (Space Segment)"/>
    <x v="2"/>
    <x v="51"/>
    <m/>
  </r>
  <r>
    <s v="Mission.Space_Seg.Spacecraft.Sun_Snsr_4"/>
    <s v="Dimensions"/>
    <x v="3"/>
    <m/>
    <s v="\Mission.Space_Seg.Spacecraft.Sun_Snsr_4\len\\default"/>
    <n v="9.6000000000000002E-2"/>
    <m/>
    <m/>
    <s v="m"/>
    <s v="AOGNC"/>
    <m/>
    <s v="AOGNC"/>
    <x v="1"/>
    <n v="4"/>
    <s v="Mission (Mission)"/>
    <s v="Space_Seg (Space Segment)"/>
    <x v="2"/>
    <x v="51"/>
    <m/>
  </r>
  <r>
    <s v="Mission.Space_Seg.Spacecraft.Sun_Snsr_4"/>
    <m/>
    <x v="4"/>
    <m/>
    <s v="\Mission.Space_Seg.Spacecraft.Sun_Snsr_4\m\\default"/>
    <n v="0.3"/>
    <n v="5"/>
    <n v="1.4999999999999999E-2"/>
    <s v="kg"/>
    <s v="AOGNC"/>
    <m/>
    <s v="AOGNC"/>
    <x v="1"/>
    <n v="4"/>
    <s v="Mission (Mission)"/>
    <s v="Space_Seg (Space Segment)"/>
    <x v="2"/>
    <x v="51"/>
    <m/>
  </r>
  <r>
    <s v="Mission.Space_Seg.Spacecraft.Sun_Snsr_4"/>
    <m/>
    <x v="5"/>
    <m/>
    <s v="\Mission.Space_Seg.Spacecraft.Sun_Snsr_4\P\\default"/>
    <n v="0.5"/>
    <m/>
    <m/>
    <s v="W"/>
    <s v="AOGNC"/>
    <m/>
    <s v="AOGNC"/>
    <x v="1"/>
    <n v="4"/>
    <s v="Mission (Mission)"/>
    <s v="Space_Seg (Space Segment)"/>
    <x v="2"/>
    <x v="51"/>
    <m/>
  </r>
  <r>
    <s v="Mission.Space_Seg.Spacecraft.Sun_Snsr_4"/>
    <m/>
    <x v="6"/>
    <s v="LAU"/>
    <s v="\Mission.Space_Seg.Spacecraft.Sun_Snsr_4\P_duty_cyc\LAU\default"/>
    <n v="-1"/>
    <m/>
    <m/>
    <s v="-"/>
    <s v="AOGNC"/>
    <m/>
    <s v="AOGNC"/>
    <x v="1"/>
    <n v="4"/>
    <s v="Mission (Mission)"/>
    <s v="Space_Seg (Space Segment)"/>
    <x v="2"/>
    <x v="51"/>
    <m/>
  </r>
  <r>
    <s v="Mission.Space_Seg.Spacecraft.Sun_Snsr_4"/>
    <m/>
    <x v="6"/>
    <s v="SAF"/>
    <s v="\Mission.Space_Seg.Spacecraft.Sun_Snsr_4\P_duty_cyc\SAF\default"/>
    <n v="1"/>
    <m/>
    <m/>
    <s v="-"/>
    <s v="AOGNC"/>
    <m/>
    <s v="AOGNC"/>
    <x v="1"/>
    <n v="4"/>
    <s v="Mission (Mission)"/>
    <s v="Space_Seg (Space Segment)"/>
    <x v="2"/>
    <x v="51"/>
    <m/>
  </r>
  <r>
    <s v="Mission.Space_Seg.Spacecraft.Sun_Snsr_4"/>
    <m/>
    <x v="6"/>
    <s v="OBS"/>
    <s v="\Mission.Space_Seg.Spacecraft.Sun_Snsr_4\P_duty_cyc\OBS\default"/>
    <n v="1"/>
    <m/>
    <m/>
    <s v="-"/>
    <s v="AOGNC"/>
    <m/>
    <s v="AOGNC"/>
    <x v="1"/>
    <n v="4"/>
    <s v="Mission (Mission)"/>
    <s v="Space_Seg (Space Segment)"/>
    <x v="2"/>
    <x v="51"/>
    <m/>
  </r>
  <r>
    <s v="Mission.Space_Seg.Spacecraft.Sun_Snsr_4"/>
    <m/>
    <x v="6"/>
    <s v="COM"/>
    <s v="\Mission.Space_Seg.Spacecraft.Sun_Snsr_4\P_duty_cyc\COM\default"/>
    <n v="1"/>
    <m/>
    <m/>
    <s v="-"/>
    <s v="AOGNC"/>
    <m/>
    <s v="AOGNC"/>
    <x v="1"/>
    <n v="4"/>
    <s v="Mission (Mission)"/>
    <s v="Space_Seg (Space Segment)"/>
    <x v="2"/>
    <x v="51"/>
    <m/>
  </r>
  <r>
    <s v="Mission.Space_Seg.Spacecraft.Sun_Snsr_4"/>
    <m/>
    <x v="6"/>
    <s v="INJ"/>
    <s v="\Mission.Space_Seg.Spacecraft.Sun_Snsr_4\P_duty_cyc\INJ\default"/>
    <n v="1"/>
    <m/>
    <m/>
    <s v="-"/>
    <s v="AOGNC"/>
    <m/>
    <s v="AOGNC"/>
    <x v="1"/>
    <n v="4"/>
    <s v="Mission (Mission)"/>
    <s v="Space_Seg (Space Segment)"/>
    <x v="2"/>
    <x v="51"/>
    <m/>
  </r>
  <r>
    <s v="Mission.Space_Seg.Spacecraft.Sun_Snsr_4"/>
    <m/>
    <x v="6"/>
    <s v="CRU"/>
    <s v="\Mission.Space_Seg.Spacecraft.Sun_Snsr_4\P_duty_cyc\CRU\default"/>
    <n v="1"/>
    <m/>
    <m/>
    <s v="-"/>
    <s v="AOGNC"/>
    <m/>
    <s v="AOGNC"/>
    <x v="1"/>
    <n v="4"/>
    <s v="Mission (Mission)"/>
    <s v="Space_Seg (Space Segment)"/>
    <x v="2"/>
    <x v="51"/>
    <m/>
  </r>
  <r>
    <s v="Mission.Space_Seg.Spacecraft.Sun_Snsr_4"/>
    <m/>
    <x v="6"/>
    <s v="DEO"/>
    <s v="\Mission.Space_Seg.Spacecraft.Sun_Snsr_4\P_duty_cyc\DEO\default"/>
    <n v="1"/>
    <m/>
    <m/>
    <s v="-"/>
    <s v="AOGNC"/>
    <m/>
    <s v="AOGNC"/>
    <x v="1"/>
    <n v="4"/>
    <s v="Mission (Mission)"/>
    <s v="Space_Seg (Space Segment)"/>
    <x v="2"/>
    <x v="51"/>
    <m/>
  </r>
  <r>
    <s v="Mission.Space_Seg.Spacecraft.Sun_Snsr_4"/>
    <m/>
    <x v="7"/>
    <m/>
    <s v="\Mission.Space_Seg.Spacecraft.Sun_Snsr_4\redundancy.scheme\\default"/>
    <s v="-"/>
    <m/>
    <m/>
    <m/>
    <s v="AOGNC"/>
    <m/>
    <s v="AOGNC"/>
    <x v="1"/>
    <n v="4"/>
    <s v="Mission (Mission)"/>
    <s v="Space_Seg (Space Segment)"/>
    <x v="2"/>
    <x v="51"/>
    <m/>
  </r>
  <r>
    <s v="Mission.Space_Seg.Spacecraft.Sun_Snsr_4"/>
    <m/>
    <x v="8"/>
    <m/>
    <s v="\Mission.Space_Seg.Spacecraft.Sun_Snsr_4\redundancy.type\\default"/>
    <s v="-"/>
    <m/>
    <m/>
    <m/>
    <s v="AOGNC"/>
    <m/>
    <s v="AOGNC"/>
    <x v="1"/>
    <n v="4"/>
    <s v="Mission (Mission)"/>
    <s v="Space_Seg (Space Segment)"/>
    <x v="2"/>
    <x v="51"/>
    <m/>
  </r>
  <r>
    <s v="Mission.Space_Seg.Spacecraft.Sun_Snsr_4"/>
    <m/>
    <x v="9"/>
    <m/>
    <s v="\Mission.Space_Seg.Spacecraft.Sun_Snsr_4\redundancy.k\\default"/>
    <n v="0"/>
    <m/>
    <m/>
    <m/>
    <s v="AOGNC"/>
    <m/>
    <s v="AOGNC"/>
    <x v="1"/>
    <n v="4"/>
    <s v="Mission (Mission)"/>
    <s v="Space_Seg (Space Segment)"/>
    <x v="2"/>
    <x v="51"/>
    <m/>
  </r>
  <r>
    <s v="Mission.Space_Seg.Spacecraft.Sun_Snsr_4"/>
    <m/>
    <x v="10"/>
    <m/>
    <s v="\Mission.Space_Seg.Spacecraft.Sun_Snsr_4\redundancy.n\\default"/>
    <n v="6"/>
    <m/>
    <m/>
    <m/>
    <s v="AOGNC"/>
    <m/>
    <s v="AOGNC"/>
    <x v="1"/>
    <n v="4"/>
    <s v="Mission (Mission)"/>
    <s v="Space_Seg (Space Segment)"/>
    <x v="2"/>
    <x v="51"/>
    <m/>
  </r>
  <r>
    <s v="Mission.Space_Seg.Spacecraft.Sun_Snsr_4"/>
    <m/>
    <x v="11"/>
    <m/>
    <s v="\Mission.Space_Seg.Spacecraft.Sun_Snsr_4\Temp_oper_max\\default"/>
    <s v="-"/>
    <m/>
    <m/>
    <s v="°C"/>
    <s v="AOGNC"/>
    <m/>
    <s v="AOGNC"/>
    <x v="1"/>
    <n v="4"/>
    <s v="Mission (Mission)"/>
    <s v="Space_Seg (Space Segment)"/>
    <x v="2"/>
    <x v="51"/>
    <m/>
  </r>
  <r>
    <s v="Mission.Space_Seg.Spacecraft.Sun_Snsr_4"/>
    <m/>
    <x v="12"/>
    <m/>
    <s v="\Mission.Space_Seg.Spacecraft.Sun_Snsr_4\Temp_oper_min\\default"/>
    <s v="-"/>
    <m/>
    <m/>
    <s v="°C"/>
    <s v="AOGNC"/>
    <m/>
    <s v="AOGNC"/>
    <x v="1"/>
    <n v="4"/>
    <s v="Mission (Mission)"/>
    <s v="Space_Seg (Space Segment)"/>
    <x v="2"/>
    <x v="51"/>
    <m/>
  </r>
  <r>
    <s v="Mission.Space_Seg.Spacecraft.Sun_Snsr_4"/>
    <m/>
    <x v="13"/>
    <m/>
    <s v="\Mission.Space_Seg.Spacecraft.Sun_Snsr_4\TRL\\default"/>
    <n v="9"/>
    <m/>
    <m/>
    <m/>
    <s v="AOGNC"/>
    <m/>
    <s v="AOGNC"/>
    <x v="1"/>
    <n v="4"/>
    <s v="Mission (Mission)"/>
    <s v="Space_Seg (Space Segment)"/>
    <x v="2"/>
    <x v="51"/>
    <m/>
  </r>
  <r>
    <s v="Mission.Space_Seg.Spacecraft.Sun_Snsr_4"/>
    <s v="Dimensions"/>
    <x v="14"/>
    <m/>
    <s v="\Mission.Space_Seg.Spacecraft.Sun_Snsr_4\wid\\default"/>
    <n v="9.4E-2"/>
    <m/>
    <m/>
    <s v="m"/>
    <s v="AOGNC"/>
    <m/>
    <s v="AOGNC"/>
    <x v="1"/>
    <n v="4"/>
    <s v="Mission (Mission)"/>
    <s v="Space_Seg (Space Segment)"/>
    <x v="2"/>
    <x v="51"/>
    <m/>
  </r>
  <r>
    <s v="Mission.Space_Seg.Spacecraft.Sun_Snsr_5"/>
    <m/>
    <x v="0"/>
    <m/>
    <s v="\Mission.Space_Seg.Spacecraft.Sun_Snsr_5\_name_\\default"/>
    <s v="Sun Sensor #5"/>
    <m/>
    <m/>
    <m/>
    <s v="AOGNC"/>
    <m/>
    <s v="AOGNC"/>
    <x v="0"/>
    <n v="4"/>
    <s v="Mission (Mission)"/>
    <s v="Space_Seg (Space Segment)"/>
    <x v="2"/>
    <x v="52"/>
    <m/>
  </r>
  <r>
    <s v="Mission.Space_Seg.Spacecraft.Sun_Snsr_5"/>
    <s v="Dimensions"/>
    <x v="1"/>
    <m/>
    <s v="\Mission.Space_Seg.Spacecraft.Sun_Snsr_5\diam\\default"/>
    <s v="-"/>
    <m/>
    <m/>
    <s v="m"/>
    <s v="AOGNC"/>
    <m/>
    <s v="AOGNC"/>
    <x v="1"/>
    <n v="4"/>
    <s v="Mission (Mission)"/>
    <s v="Space_Seg (Space Segment)"/>
    <x v="2"/>
    <x v="52"/>
    <m/>
  </r>
  <r>
    <s v="Mission.Space_Seg.Spacecraft.Sun_Snsr_5"/>
    <s v="Dimensions"/>
    <x v="2"/>
    <m/>
    <s v="\Mission.Space_Seg.Spacecraft.Sun_Snsr_5\height\\default"/>
    <n v="5.2999999999999999E-2"/>
    <m/>
    <m/>
    <s v="m"/>
    <s v="AOGNC"/>
    <m/>
    <s v="AOGNC"/>
    <x v="1"/>
    <n v="4"/>
    <s v="Mission (Mission)"/>
    <s v="Space_Seg (Space Segment)"/>
    <x v="2"/>
    <x v="52"/>
    <m/>
  </r>
  <r>
    <s v="Mission.Space_Seg.Spacecraft.Sun_Snsr_5"/>
    <m/>
    <x v="32"/>
    <m/>
    <s v="\Mission.Space_Seg.Spacecraft.Sun_Snsr_5\know_pointing\\default"/>
    <n v="1.6999999999999999E-3"/>
    <m/>
    <m/>
    <s v="rad"/>
    <s v="AOGNC"/>
    <m/>
    <s v="AOGNC"/>
    <x v="1"/>
    <n v="4"/>
    <s v="Mission (Mission)"/>
    <s v="Space_Seg (Space Segment)"/>
    <x v="2"/>
    <x v="52"/>
    <m/>
  </r>
  <r>
    <s v="Mission.Space_Seg.Spacecraft.Sun_Snsr_5"/>
    <s v="Dimensions"/>
    <x v="3"/>
    <m/>
    <s v="\Mission.Space_Seg.Spacecraft.Sun_Snsr_5\len\\default"/>
    <n v="9.6000000000000002E-2"/>
    <m/>
    <m/>
    <s v="m"/>
    <s v="AOGNC"/>
    <m/>
    <s v="AOGNC"/>
    <x v="1"/>
    <n v="4"/>
    <s v="Mission (Mission)"/>
    <s v="Space_Seg (Space Segment)"/>
    <x v="2"/>
    <x v="52"/>
    <m/>
  </r>
  <r>
    <s v="Mission.Space_Seg.Spacecraft.Sun_Snsr_5"/>
    <m/>
    <x v="4"/>
    <m/>
    <s v="\Mission.Space_Seg.Spacecraft.Sun_Snsr_5\m\\default"/>
    <n v="0.3"/>
    <n v="5"/>
    <n v="1.4999999999999999E-2"/>
    <s v="kg"/>
    <s v="AOGNC"/>
    <m/>
    <s v="AOGNC"/>
    <x v="1"/>
    <n v="4"/>
    <s v="Mission (Mission)"/>
    <s v="Space_Seg (Space Segment)"/>
    <x v="2"/>
    <x v="52"/>
    <m/>
  </r>
  <r>
    <s v="Mission.Space_Seg.Spacecraft.Sun_Snsr_5"/>
    <m/>
    <x v="5"/>
    <m/>
    <s v="\Mission.Space_Seg.Spacecraft.Sun_Snsr_5\P\\default"/>
    <n v="0.5"/>
    <m/>
    <m/>
    <s v="W"/>
    <s v="AOGNC"/>
    <m/>
    <s v="AOGNC"/>
    <x v="1"/>
    <n v="4"/>
    <s v="Mission (Mission)"/>
    <s v="Space_Seg (Space Segment)"/>
    <x v="2"/>
    <x v="52"/>
    <m/>
  </r>
  <r>
    <s v="Mission.Space_Seg.Spacecraft.Sun_Snsr_5"/>
    <m/>
    <x v="6"/>
    <s v="LAU"/>
    <s v="\Mission.Space_Seg.Spacecraft.Sun_Snsr_5\P_duty_cyc\LAU\default"/>
    <n v="-1"/>
    <m/>
    <m/>
    <s v="-"/>
    <s v="AOGNC"/>
    <m/>
    <s v="AOGNC"/>
    <x v="1"/>
    <n v="4"/>
    <s v="Mission (Mission)"/>
    <s v="Space_Seg (Space Segment)"/>
    <x v="2"/>
    <x v="52"/>
    <m/>
  </r>
  <r>
    <s v="Mission.Space_Seg.Spacecraft.Sun_Snsr_5"/>
    <m/>
    <x v="6"/>
    <s v="SAF"/>
    <s v="\Mission.Space_Seg.Spacecraft.Sun_Snsr_5\P_duty_cyc\SAF\default"/>
    <n v="1"/>
    <m/>
    <m/>
    <s v="-"/>
    <s v="AOGNC"/>
    <m/>
    <s v="AOGNC"/>
    <x v="1"/>
    <n v="4"/>
    <s v="Mission (Mission)"/>
    <s v="Space_Seg (Space Segment)"/>
    <x v="2"/>
    <x v="52"/>
    <m/>
  </r>
  <r>
    <s v="Mission.Space_Seg.Spacecraft.Sun_Snsr_5"/>
    <m/>
    <x v="6"/>
    <s v="OBS"/>
    <s v="\Mission.Space_Seg.Spacecraft.Sun_Snsr_5\P_duty_cyc\OBS\default"/>
    <n v="1"/>
    <m/>
    <m/>
    <s v="-"/>
    <s v="AOGNC"/>
    <m/>
    <s v="AOGNC"/>
    <x v="1"/>
    <n v="4"/>
    <s v="Mission (Mission)"/>
    <s v="Space_Seg (Space Segment)"/>
    <x v="2"/>
    <x v="52"/>
    <m/>
  </r>
  <r>
    <s v="Mission.Space_Seg.Spacecraft.Sun_Snsr_5"/>
    <m/>
    <x v="6"/>
    <s v="COM"/>
    <s v="\Mission.Space_Seg.Spacecraft.Sun_Snsr_5\P_duty_cyc\COM\default"/>
    <n v="1"/>
    <m/>
    <m/>
    <s v="-"/>
    <s v="AOGNC"/>
    <m/>
    <s v="AOGNC"/>
    <x v="1"/>
    <n v="4"/>
    <s v="Mission (Mission)"/>
    <s v="Space_Seg (Space Segment)"/>
    <x v="2"/>
    <x v="52"/>
    <m/>
  </r>
  <r>
    <s v="Mission.Space_Seg.Spacecraft.Sun_Snsr_5"/>
    <m/>
    <x v="6"/>
    <s v="INJ"/>
    <s v="\Mission.Space_Seg.Spacecraft.Sun_Snsr_5\P_duty_cyc\INJ\default"/>
    <n v="1"/>
    <m/>
    <m/>
    <s v="-"/>
    <s v="AOGNC"/>
    <m/>
    <s v="AOGNC"/>
    <x v="1"/>
    <n v="4"/>
    <s v="Mission (Mission)"/>
    <s v="Space_Seg (Space Segment)"/>
    <x v="2"/>
    <x v="52"/>
    <m/>
  </r>
  <r>
    <s v="Mission.Space_Seg.Spacecraft.Sun_Snsr_5"/>
    <m/>
    <x v="6"/>
    <s v="CRU"/>
    <s v="\Mission.Space_Seg.Spacecraft.Sun_Snsr_5\P_duty_cyc\CRU\default"/>
    <n v="1"/>
    <m/>
    <m/>
    <s v="-"/>
    <s v="AOGNC"/>
    <m/>
    <s v="AOGNC"/>
    <x v="1"/>
    <n v="4"/>
    <s v="Mission (Mission)"/>
    <s v="Space_Seg (Space Segment)"/>
    <x v="2"/>
    <x v="52"/>
    <m/>
  </r>
  <r>
    <s v="Mission.Space_Seg.Spacecraft.Sun_Snsr_5"/>
    <m/>
    <x v="6"/>
    <s v="DEO"/>
    <s v="\Mission.Space_Seg.Spacecraft.Sun_Snsr_5\P_duty_cyc\DEO\default"/>
    <n v="1"/>
    <m/>
    <m/>
    <s v="-"/>
    <s v="AOGNC"/>
    <m/>
    <s v="AOGNC"/>
    <x v="1"/>
    <n v="4"/>
    <s v="Mission (Mission)"/>
    <s v="Space_Seg (Space Segment)"/>
    <x v="2"/>
    <x v="52"/>
    <m/>
  </r>
  <r>
    <s v="Mission.Space_Seg.Spacecraft.Sun_Snsr_5"/>
    <m/>
    <x v="7"/>
    <m/>
    <s v="\Mission.Space_Seg.Spacecraft.Sun_Snsr_5\redundancy.scheme\\default"/>
    <s v="-"/>
    <m/>
    <m/>
    <m/>
    <s v="AOGNC"/>
    <m/>
    <s v="AOGNC"/>
    <x v="1"/>
    <n v="4"/>
    <s v="Mission (Mission)"/>
    <s v="Space_Seg (Space Segment)"/>
    <x v="2"/>
    <x v="52"/>
    <m/>
  </r>
  <r>
    <s v="Mission.Space_Seg.Spacecraft.Sun_Snsr_5"/>
    <m/>
    <x v="8"/>
    <m/>
    <s v="\Mission.Space_Seg.Spacecraft.Sun_Snsr_5\redundancy.type\\default"/>
    <s v="-"/>
    <m/>
    <m/>
    <m/>
    <s v="AOGNC"/>
    <m/>
    <s v="AOGNC"/>
    <x v="1"/>
    <n v="4"/>
    <s v="Mission (Mission)"/>
    <s v="Space_Seg (Space Segment)"/>
    <x v="2"/>
    <x v="52"/>
    <m/>
  </r>
  <r>
    <s v="Mission.Space_Seg.Spacecraft.Sun_Snsr_5"/>
    <m/>
    <x v="9"/>
    <m/>
    <s v="\Mission.Space_Seg.Spacecraft.Sun_Snsr_5\redundancy.k\\default"/>
    <n v="0"/>
    <m/>
    <m/>
    <m/>
    <s v="AOGNC"/>
    <m/>
    <s v="AOGNC"/>
    <x v="1"/>
    <n v="4"/>
    <s v="Mission (Mission)"/>
    <s v="Space_Seg (Space Segment)"/>
    <x v="2"/>
    <x v="52"/>
    <m/>
  </r>
  <r>
    <s v="Mission.Space_Seg.Spacecraft.Sun_Snsr_5"/>
    <m/>
    <x v="10"/>
    <m/>
    <s v="\Mission.Space_Seg.Spacecraft.Sun_Snsr_5\redundancy.n\\default"/>
    <n v="6"/>
    <m/>
    <m/>
    <m/>
    <s v="AOGNC"/>
    <m/>
    <s v="AOGNC"/>
    <x v="1"/>
    <n v="4"/>
    <s v="Mission (Mission)"/>
    <s v="Space_Seg (Space Segment)"/>
    <x v="2"/>
    <x v="52"/>
    <m/>
  </r>
  <r>
    <s v="Mission.Space_Seg.Spacecraft.Sun_Snsr_5"/>
    <m/>
    <x v="11"/>
    <m/>
    <s v="\Mission.Space_Seg.Spacecraft.Sun_Snsr_5\Temp_oper_max\\default"/>
    <s v="-"/>
    <m/>
    <m/>
    <s v="°C"/>
    <s v="AOGNC"/>
    <m/>
    <s v="AOGNC"/>
    <x v="1"/>
    <n v="4"/>
    <s v="Mission (Mission)"/>
    <s v="Space_Seg (Space Segment)"/>
    <x v="2"/>
    <x v="52"/>
    <m/>
  </r>
  <r>
    <s v="Mission.Space_Seg.Spacecraft.Sun_Snsr_5"/>
    <m/>
    <x v="12"/>
    <m/>
    <s v="\Mission.Space_Seg.Spacecraft.Sun_Snsr_5\Temp_oper_min\\default"/>
    <s v="-"/>
    <m/>
    <m/>
    <s v="°C"/>
    <s v="AOGNC"/>
    <m/>
    <s v="AOGNC"/>
    <x v="1"/>
    <n v="4"/>
    <s v="Mission (Mission)"/>
    <s v="Space_Seg (Space Segment)"/>
    <x v="2"/>
    <x v="52"/>
    <m/>
  </r>
  <r>
    <s v="Mission.Space_Seg.Spacecraft.Sun_Snsr_5"/>
    <m/>
    <x v="13"/>
    <m/>
    <s v="\Mission.Space_Seg.Spacecraft.Sun_Snsr_5\TRL\\default"/>
    <n v="9"/>
    <m/>
    <m/>
    <m/>
    <s v="AOGNC"/>
    <m/>
    <s v="AOGNC"/>
    <x v="1"/>
    <n v="4"/>
    <s v="Mission (Mission)"/>
    <s v="Space_Seg (Space Segment)"/>
    <x v="2"/>
    <x v="52"/>
    <m/>
  </r>
  <r>
    <s v="Mission.Space_Seg.Spacecraft.Sun_Snsr_5"/>
    <s v="Dimensions"/>
    <x v="14"/>
    <m/>
    <s v="\Mission.Space_Seg.Spacecraft.Sun_Snsr_5\wid\\default"/>
    <n v="9.4E-2"/>
    <m/>
    <m/>
    <s v="m"/>
    <s v="AOGNC"/>
    <m/>
    <s v="AOGNC"/>
    <x v="1"/>
    <n v="4"/>
    <s v="Mission (Mission)"/>
    <s v="Space_Seg (Space Segment)"/>
    <x v="2"/>
    <x v="52"/>
    <m/>
  </r>
  <r>
    <s v="Mission.Space_Seg.Spacecraft.Sun_Snsr_6"/>
    <m/>
    <x v="0"/>
    <m/>
    <s v="\Mission.Space_Seg.Spacecraft.Sun_Snsr_6\_name_\\default"/>
    <s v="Sun Sensor #6"/>
    <m/>
    <m/>
    <m/>
    <s v="AOGNC"/>
    <m/>
    <s v="AOGNC"/>
    <x v="0"/>
    <n v="4"/>
    <s v="Mission (Mission)"/>
    <s v="Space_Seg (Space Segment)"/>
    <x v="2"/>
    <x v="53"/>
    <m/>
  </r>
  <r>
    <s v="Mission.Space_Seg.Spacecraft.Sun_Snsr_6"/>
    <s v="Dimensions"/>
    <x v="1"/>
    <m/>
    <s v="\Mission.Space_Seg.Spacecraft.Sun_Snsr_6\diam\\default"/>
    <s v="-"/>
    <m/>
    <m/>
    <s v="m"/>
    <s v="AOGNC"/>
    <m/>
    <s v="AOGNC"/>
    <x v="1"/>
    <n v="4"/>
    <s v="Mission (Mission)"/>
    <s v="Space_Seg (Space Segment)"/>
    <x v="2"/>
    <x v="53"/>
    <m/>
  </r>
  <r>
    <s v="Mission.Space_Seg.Spacecraft.Sun_Snsr_6"/>
    <s v="Dimensions"/>
    <x v="2"/>
    <m/>
    <s v="\Mission.Space_Seg.Spacecraft.Sun_Snsr_6\height\\default"/>
    <n v="5.2999999999999999E-2"/>
    <m/>
    <m/>
    <s v="m"/>
    <s v="AOGNC"/>
    <m/>
    <s v="AOGNC"/>
    <x v="1"/>
    <n v="4"/>
    <s v="Mission (Mission)"/>
    <s v="Space_Seg (Space Segment)"/>
    <x v="2"/>
    <x v="53"/>
    <m/>
  </r>
  <r>
    <s v="Mission.Space_Seg.Spacecraft.Sun_Snsr_6"/>
    <m/>
    <x v="32"/>
    <m/>
    <s v="\Mission.Space_Seg.Spacecraft.Sun_Snsr_6\know_pointing\\default"/>
    <n v="1.6999999999999999E-3"/>
    <m/>
    <m/>
    <s v="rad"/>
    <s v="AOGNC"/>
    <m/>
    <s v="AOGNC"/>
    <x v="1"/>
    <n v="4"/>
    <s v="Mission (Mission)"/>
    <s v="Space_Seg (Space Segment)"/>
    <x v="2"/>
    <x v="53"/>
    <m/>
  </r>
  <r>
    <s v="Mission.Space_Seg.Spacecraft.Sun_Snsr_6"/>
    <s v="Dimensions"/>
    <x v="3"/>
    <m/>
    <s v="\Mission.Space_Seg.Spacecraft.Sun_Snsr_6\len\\default"/>
    <n v="9.6000000000000002E-2"/>
    <m/>
    <m/>
    <s v="m"/>
    <s v="AOGNC"/>
    <m/>
    <s v="AOGNC"/>
    <x v="1"/>
    <n v="4"/>
    <s v="Mission (Mission)"/>
    <s v="Space_Seg (Space Segment)"/>
    <x v="2"/>
    <x v="53"/>
    <m/>
  </r>
  <r>
    <s v="Mission.Space_Seg.Spacecraft.Sun_Snsr_6"/>
    <m/>
    <x v="4"/>
    <m/>
    <s v="\Mission.Space_Seg.Spacecraft.Sun_Snsr_6\m\\default"/>
    <n v="0.3"/>
    <n v="5"/>
    <n v="1.4999999999999999E-2"/>
    <s v="kg"/>
    <s v="AOGNC"/>
    <m/>
    <s v="AOGNC"/>
    <x v="1"/>
    <n v="4"/>
    <s v="Mission (Mission)"/>
    <s v="Space_Seg (Space Segment)"/>
    <x v="2"/>
    <x v="53"/>
    <m/>
  </r>
  <r>
    <s v="Mission.Space_Seg.Spacecraft.Sun_Snsr_6"/>
    <m/>
    <x v="5"/>
    <m/>
    <s v="\Mission.Space_Seg.Spacecraft.Sun_Snsr_6\P\\default"/>
    <n v="0.5"/>
    <m/>
    <m/>
    <s v="W"/>
    <s v="AOGNC"/>
    <m/>
    <s v="AOGNC"/>
    <x v="1"/>
    <n v="4"/>
    <s v="Mission (Mission)"/>
    <s v="Space_Seg (Space Segment)"/>
    <x v="2"/>
    <x v="53"/>
    <m/>
  </r>
  <r>
    <s v="Mission.Space_Seg.Spacecraft.Sun_Snsr_6"/>
    <m/>
    <x v="6"/>
    <s v="LAU"/>
    <s v="\Mission.Space_Seg.Spacecraft.Sun_Snsr_6\P_duty_cyc\LAU\default"/>
    <n v="-1"/>
    <m/>
    <m/>
    <s v="-"/>
    <s v="AOGNC"/>
    <m/>
    <s v="AOGNC"/>
    <x v="1"/>
    <n v="4"/>
    <s v="Mission (Mission)"/>
    <s v="Space_Seg (Space Segment)"/>
    <x v="2"/>
    <x v="53"/>
    <m/>
  </r>
  <r>
    <s v="Mission.Space_Seg.Spacecraft.Sun_Snsr_6"/>
    <m/>
    <x v="6"/>
    <s v="SAF"/>
    <s v="\Mission.Space_Seg.Spacecraft.Sun_Snsr_6\P_duty_cyc\SAF\default"/>
    <n v="1"/>
    <m/>
    <m/>
    <s v="-"/>
    <s v="AOGNC"/>
    <m/>
    <s v="AOGNC"/>
    <x v="1"/>
    <n v="4"/>
    <s v="Mission (Mission)"/>
    <s v="Space_Seg (Space Segment)"/>
    <x v="2"/>
    <x v="53"/>
    <m/>
  </r>
  <r>
    <s v="Mission.Space_Seg.Spacecraft.Sun_Snsr_6"/>
    <m/>
    <x v="6"/>
    <s v="OBS"/>
    <s v="\Mission.Space_Seg.Spacecraft.Sun_Snsr_6\P_duty_cyc\OBS\default"/>
    <n v="1"/>
    <m/>
    <m/>
    <s v="-"/>
    <s v="AOGNC"/>
    <m/>
    <s v="AOGNC"/>
    <x v="1"/>
    <n v="4"/>
    <s v="Mission (Mission)"/>
    <s v="Space_Seg (Space Segment)"/>
    <x v="2"/>
    <x v="53"/>
    <m/>
  </r>
  <r>
    <s v="Mission.Space_Seg.Spacecraft.Sun_Snsr_6"/>
    <m/>
    <x v="6"/>
    <s v="COM"/>
    <s v="\Mission.Space_Seg.Spacecraft.Sun_Snsr_6\P_duty_cyc\COM\default"/>
    <n v="1"/>
    <m/>
    <m/>
    <s v="-"/>
    <s v="AOGNC"/>
    <m/>
    <s v="AOGNC"/>
    <x v="1"/>
    <n v="4"/>
    <s v="Mission (Mission)"/>
    <s v="Space_Seg (Space Segment)"/>
    <x v="2"/>
    <x v="53"/>
    <m/>
  </r>
  <r>
    <s v="Mission.Space_Seg.Spacecraft.Sun_Snsr_6"/>
    <m/>
    <x v="6"/>
    <s v="INJ"/>
    <s v="\Mission.Space_Seg.Spacecraft.Sun_Snsr_6\P_duty_cyc\INJ\default"/>
    <n v="1"/>
    <m/>
    <m/>
    <s v="-"/>
    <s v="AOGNC"/>
    <m/>
    <s v="AOGNC"/>
    <x v="1"/>
    <n v="4"/>
    <s v="Mission (Mission)"/>
    <s v="Space_Seg (Space Segment)"/>
    <x v="2"/>
    <x v="53"/>
    <m/>
  </r>
  <r>
    <s v="Mission.Space_Seg.Spacecraft.Sun_Snsr_6"/>
    <m/>
    <x v="6"/>
    <s v="CRU"/>
    <s v="\Mission.Space_Seg.Spacecraft.Sun_Snsr_6\P_duty_cyc\CRU\default"/>
    <n v="1"/>
    <m/>
    <m/>
    <s v="-"/>
    <s v="AOGNC"/>
    <m/>
    <s v="AOGNC"/>
    <x v="1"/>
    <n v="4"/>
    <s v="Mission (Mission)"/>
    <s v="Space_Seg (Space Segment)"/>
    <x v="2"/>
    <x v="53"/>
    <m/>
  </r>
  <r>
    <s v="Mission.Space_Seg.Spacecraft.Sun_Snsr_6"/>
    <m/>
    <x v="6"/>
    <s v="DEO"/>
    <s v="\Mission.Space_Seg.Spacecraft.Sun_Snsr_6\P_duty_cyc\DEO\default"/>
    <n v="1"/>
    <m/>
    <m/>
    <s v="-"/>
    <s v="AOGNC"/>
    <m/>
    <s v="AOGNC"/>
    <x v="1"/>
    <n v="4"/>
    <s v="Mission (Mission)"/>
    <s v="Space_Seg (Space Segment)"/>
    <x v="2"/>
    <x v="53"/>
    <m/>
  </r>
  <r>
    <s v="Mission.Space_Seg.Spacecraft.Sun_Snsr_6"/>
    <m/>
    <x v="7"/>
    <m/>
    <s v="\Mission.Space_Seg.Spacecraft.Sun_Snsr_6\redundancy.scheme\\default"/>
    <s v="-"/>
    <m/>
    <m/>
    <m/>
    <s v="AOGNC"/>
    <m/>
    <s v="AOGNC"/>
    <x v="1"/>
    <n v="4"/>
    <s v="Mission (Mission)"/>
    <s v="Space_Seg (Space Segment)"/>
    <x v="2"/>
    <x v="53"/>
    <m/>
  </r>
  <r>
    <s v="Mission.Space_Seg.Spacecraft.Sun_Snsr_6"/>
    <m/>
    <x v="8"/>
    <m/>
    <s v="\Mission.Space_Seg.Spacecraft.Sun_Snsr_6\redundancy.type\\default"/>
    <s v="-"/>
    <m/>
    <m/>
    <m/>
    <s v="AOGNC"/>
    <m/>
    <s v="AOGNC"/>
    <x v="1"/>
    <n v="4"/>
    <s v="Mission (Mission)"/>
    <s v="Space_Seg (Space Segment)"/>
    <x v="2"/>
    <x v="53"/>
    <m/>
  </r>
  <r>
    <s v="Mission.Space_Seg.Spacecraft.Sun_Snsr_6"/>
    <m/>
    <x v="9"/>
    <m/>
    <s v="\Mission.Space_Seg.Spacecraft.Sun_Snsr_6\redundancy.k\\default"/>
    <n v="0"/>
    <m/>
    <m/>
    <m/>
    <s v="AOGNC"/>
    <m/>
    <s v="AOGNC"/>
    <x v="1"/>
    <n v="4"/>
    <s v="Mission (Mission)"/>
    <s v="Space_Seg (Space Segment)"/>
    <x v="2"/>
    <x v="53"/>
    <m/>
  </r>
  <r>
    <s v="Mission.Space_Seg.Spacecraft.Sun_Snsr_6"/>
    <m/>
    <x v="10"/>
    <m/>
    <s v="\Mission.Space_Seg.Spacecraft.Sun_Snsr_6\redundancy.n\\default"/>
    <n v="6"/>
    <m/>
    <m/>
    <m/>
    <s v="AOGNC"/>
    <m/>
    <s v="AOGNC"/>
    <x v="1"/>
    <n v="4"/>
    <s v="Mission (Mission)"/>
    <s v="Space_Seg (Space Segment)"/>
    <x v="2"/>
    <x v="53"/>
    <m/>
  </r>
  <r>
    <s v="Mission.Space_Seg.Spacecraft.Sun_Snsr_6"/>
    <m/>
    <x v="11"/>
    <m/>
    <s v="\Mission.Space_Seg.Spacecraft.Sun_Snsr_6\Temp_oper_max\\default"/>
    <s v="-"/>
    <m/>
    <m/>
    <s v="°C"/>
    <s v="AOGNC"/>
    <m/>
    <s v="AOGNC"/>
    <x v="1"/>
    <n v="4"/>
    <s v="Mission (Mission)"/>
    <s v="Space_Seg (Space Segment)"/>
    <x v="2"/>
    <x v="53"/>
    <m/>
  </r>
  <r>
    <s v="Mission.Space_Seg.Spacecraft.Sun_Snsr_6"/>
    <m/>
    <x v="12"/>
    <m/>
    <s v="\Mission.Space_Seg.Spacecraft.Sun_Snsr_6\Temp_oper_min\\default"/>
    <s v="-"/>
    <m/>
    <m/>
    <s v="°C"/>
    <s v="AOGNC"/>
    <m/>
    <s v="AOGNC"/>
    <x v="1"/>
    <n v="4"/>
    <s v="Mission (Mission)"/>
    <s v="Space_Seg (Space Segment)"/>
    <x v="2"/>
    <x v="53"/>
    <m/>
  </r>
  <r>
    <s v="Mission.Space_Seg.Spacecraft.Sun_Snsr_6"/>
    <m/>
    <x v="13"/>
    <m/>
    <s v="\Mission.Space_Seg.Spacecraft.Sun_Snsr_6\TRL\\default"/>
    <n v="9"/>
    <m/>
    <m/>
    <m/>
    <s v="AOGNC"/>
    <m/>
    <s v="AOGNC"/>
    <x v="1"/>
    <n v="4"/>
    <s v="Mission (Mission)"/>
    <s v="Space_Seg (Space Segment)"/>
    <x v="2"/>
    <x v="53"/>
    <m/>
  </r>
  <r>
    <s v="Mission.Space_Seg.Spacecraft.Sun_Snsr_6"/>
    <s v="Dimensions"/>
    <x v="14"/>
    <m/>
    <s v="\Mission.Space_Seg.Spacecraft.Sun_Snsr_6\wid\\default"/>
    <n v="9.4E-2"/>
    <m/>
    <m/>
    <s v="m"/>
    <s v="AOGNC"/>
    <m/>
    <s v="AOGNC"/>
    <x v="1"/>
    <n v="4"/>
    <s v="Mission (Mission)"/>
    <s v="Space_Seg (Space Segment)"/>
    <x v="2"/>
    <x v="53"/>
    <m/>
  </r>
  <r>
    <s v="Mission.Space_Seg.Spacecraft.THES"/>
    <m/>
    <x v="0"/>
    <m/>
    <s v="\Mission.Space_Seg.Spacecraft.THES\_name_\\default"/>
    <s v="Thermal Subsystem"/>
    <m/>
    <m/>
    <m/>
    <s v="TC"/>
    <m/>
    <s v="TC"/>
    <x v="0"/>
    <n v="4"/>
    <s v="Mission (Mission)"/>
    <s v="Space_Seg (Space Segment)"/>
    <x v="2"/>
    <x v="54"/>
    <m/>
  </r>
  <r>
    <s v="Mission.Space_Seg.Spacecraft.THES"/>
    <m/>
    <x v="4"/>
    <m/>
    <s v="\Mission.Space_Seg.Spacecraft.THES\m\\default"/>
    <n v="30"/>
    <s v="-"/>
    <m/>
    <s v="kg"/>
    <s v="TC"/>
    <m/>
    <s v="TC"/>
    <x v="2"/>
    <n v="4"/>
    <s v="Mission (Mission)"/>
    <s v="Space_Seg (Space Segment)"/>
    <x v="2"/>
    <x v="54"/>
    <m/>
  </r>
  <r>
    <s v="Mission.Space_Seg.Spacecraft.THES"/>
    <m/>
    <x v="5"/>
    <m/>
    <s v="\Mission.Space_Seg.Spacecraft.THES\P\\default"/>
    <s v="-"/>
    <m/>
    <m/>
    <s v="W"/>
    <s v="TC"/>
    <m/>
    <s v="TC"/>
    <x v="2"/>
    <n v="4"/>
    <s v="Mission (Mission)"/>
    <s v="Space_Seg (Space Segment)"/>
    <x v="2"/>
    <x v="54"/>
    <m/>
  </r>
  <r>
    <s v="Mission.Space_Seg.Spacecraft.THES"/>
    <m/>
    <x v="6"/>
    <s v="LAU"/>
    <s v="\Mission.Space_Seg.Spacecraft.THES\P_duty_cyc\LAU\default"/>
    <n v="0.15"/>
    <m/>
    <m/>
    <s v="-"/>
    <s v="TC"/>
    <m/>
    <s v="TC"/>
    <x v="2"/>
    <n v="4"/>
    <s v="Mission (Mission)"/>
    <s v="Space_Seg (Space Segment)"/>
    <x v="2"/>
    <x v="54"/>
    <m/>
  </r>
  <r>
    <s v="Mission.Space_Seg.Spacecraft.THES"/>
    <m/>
    <x v="6"/>
    <s v="SAF"/>
    <s v="\Mission.Space_Seg.Spacecraft.THES\P_duty_cyc\SAF\default"/>
    <n v="0.15"/>
    <m/>
    <m/>
    <s v="-"/>
    <s v="TC"/>
    <m/>
    <s v="TC"/>
    <x v="2"/>
    <n v="4"/>
    <s v="Mission (Mission)"/>
    <s v="Space_Seg (Space Segment)"/>
    <x v="2"/>
    <x v="54"/>
    <m/>
  </r>
  <r>
    <s v="Mission.Space_Seg.Spacecraft.THES"/>
    <m/>
    <x v="6"/>
    <s v="OBS"/>
    <s v="\Mission.Space_Seg.Spacecraft.THES\P_duty_cyc\OBS\default"/>
    <n v="0.15"/>
    <m/>
    <m/>
    <s v="-"/>
    <s v="TC"/>
    <m/>
    <s v="TC"/>
    <x v="2"/>
    <n v="4"/>
    <s v="Mission (Mission)"/>
    <s v="Space_Seg (Space Segment)"/>
    <x v="2"/>
    <x v="54"/>
    <m/>
  </r>
  <r>
    <s v="Mission.Space_Seg.Spacecraft.THES"/>
    <m/>
    <x v="6"/>
    <s v="COM"/>
    <s v="\Mission.Space_Seg.Spacecraft.THES\P_duty_cyc\COM\default"/>
    <n v="0.15"/>
    <m/>
    <m/>
    <s v="-"/>
    <s v="TC"/>
    <m/>
    <s v="TC"/>
    <x v="2"/>
    <n v="4"/>
    <s v="Mission (Mission)"/>
    <s v="Space_Seg (Space Segment)"/>
    <x v="2"/>
    <x v="54"/>
    <m/>
  </r>
  <r>
    <s v="Mission.Space_Seg.Spacecraft.THES"/>
    <m/>
    <x v="6"/>
    <s v="INJ"/>
    <s v="\Mission.Space_Seg.Spacecraft.THES\P_duty_cyc\INJ\default"/>
    <n v="0.15"/>
    <m/>
    <m/>
    <s v="-"/>
    <s v="TC"/>
    <m/>
    <s v="TC"/>
    <x v="2"/>
    <n v="4"/>
    <s v="Mission (Mission)"/>
    <s v="Space_Seg (Space Segment)"/>
    <x v="2"/>
    <x v="54"/>
    <m/>
  </r>
  <r>
    <s v="Mission.Space_Seg.Spacecraft.THES"/>
    <m/>
    <x v="6"/>
    <s v="CRU"/>
    <s v="\Mission.Space_Seg.Spacecraft.THES\P_duty_cyc\CRU\default"/>
    <n v="0.15"/>
    <m/>
    <m/>
    <s v="-"/>
    <s v="TC"/>
    <m/>
    <s v="TC"/>
    <x v="2"/>
    <n v="4"/>
    <s v="Mission (Mission)"/>
    <s v="Space_Seg (Space Segment)"/>
    <x v="2"/>
    <x v="54"/>
    <m/>
  </r>
  <r>
    <s v="Mission.Space_Seg.Spacecraft.THES"/>
    <m/>
    <x v="6"/>
    <s v="DEO"/>
    <s v="\Mission.Space_Seg.Spacecraft.THES\P_duty_cyc\DEO\default"/>
    <n v="0.15"/>
    <m/>
    <m/>
    <s v="-"/>
    <s v="TC"/>
    <m/>
    <s v="TC"/>
    <x v="2"/>
    <n v="4"/>
    <s v="Mission (Mission)"/>
    <s v="Space_Seg (Space Segment)"/>
    <x v="2"/>
    <x v="54"/>
    <m/>
  </r>
  <r>
    <s v="Mission.Space_Seg.Spacecraft.trans_TWTA"/>
    <m/>
    <x v="0"/>
    <m/>
    <s v="\Mission.Space_Seg.Spacecraft.trans_TWTA\_name_\\default"/>
    <s v="Transmitter TWTA"/>
    <m/>
    <m/>
    <m/>
    <s v="COM"/>
    <m/>
    <s v="COM"/>
    <x v="0"/>
    <n v="4"/>
    <s v="Mission (Mission)"/>
    <s v="Space_Seg (Space Segment)"/>
    <x v="2"/>
    <x v="55"/>
    <m/>
  </r>
  <r>
    <s v="Mission.Space_Seg.Spacecraft.trans_TWTA"/>
    <s v="Dimensions"/>
    <x v="1"/>
    <m/>
    <s v="\Mission.Space_Seg.Spacecraft.trans_TWTA\diam\\default"/>
    <s v="-"/>
    <m/>
    <m/>
    <s v="m"/>
    <s v="COM"/>
    <m/>
    <s v="COM"/>
    <x v="1"/>
    <n v="4"/>
    <s v="Mission (Mission)"/>
    <s v="Space_Seg (Space Segment)"/>
    <x v="2"/>
    <x v="55"/>
    <m/>
  </r>
  <r>
    <s v="Mission.Space_Seg.Spacecraft.trans_TWTA"/>
    <s v="Dimensions"/>
    <x v="2"/>
    <m/>
    <s v="\Mission.Space_Seg.Spacecraft.trans_TWTA\height\\default"/>
    <s v="-"/>
    <m/>
    <m/>
    <s v="m"/>
    <s v="COM"/>
    <m/>
    <s v="COM"/>
    <x v="1"/>
    <n v="4"/>
    <s v="Mission (Mission)"/>
    <s v="Space_Seg (Space Segment)"/>
    <x v="2"/>
    <x v="55"/>
    <m/>
  </r>
  <r>
    <s v="Mission.Space_Seg.Spacecraft.trans_TWTA"/>
    <s v="Dimensions"/>
    <x v="3"/>
    <m/>
    <s v="\Mission.Space_Seg.Spacecraft.trans_TWTA\len\\default"/>
    <s v="-"/>
    <m/>
    <m/>
    <s v="m"/>
    <s v="COM"/>
    <m/>
    <s v="COM"/>
    <x v="1"/>
    <n v="4"/>
    <s v="Mission (Mission)"/>
    <s v="Space_Seg (Space Segment)"/>
    <x v="2"/>
    <x v="55"/>
    <m/>
  </r>
  <r>
    <s v="Mission.Space_Seg.Spacecraft.trans_TWTA"/>
    <m/>
    <x v="4"/>
    <m/>
    <s v="\Mission.Space_Seg.Spacecraft.trans_TWTA\m\\default"/>
    <n v="2.4"/>
    <n v="10"/>
    <n v="0.24"/>
    <s v="kg"/>
    <s v="COM"/>
    <m/>
    <s v="COM"/>
    <x v="1"/>
    <n v="4"/>
    <s v="Mission (Mission)"/>
    <s v="Space_Seg (Space Segment)"/>
    <x v="2"/>
    <x v="55"/>
    <m/>
  </r>
  <r>
    <s v="Mission.Space_Seg.Spacecraft.trans_TWTA"/>
    <m/>
    <x v="5"/>
    <m/>
    <s v="\Mission.Space_Seg.Spacecraft.trans_TWTA\P\\default"/>
    <n v="13.3"/>
    <m/>
    <m/>
    <s v="W"/>
    <s v="COM"/>
    <m/>
    <s v="COM"/>
    <x v="1"/>
    <n v="4"/>
    <s v="Mission (Mission)"/>
    <s v="Space_Seg (Space Segment)"/>
    <x v="2"/>
    <x v="55"/>
    <m/>
  </r>
  <r>
    <s v="Mission.Space_Seg.Spacecraft.trans_TWTA"/>
    <m/>
    <x v="6"/>
    <s v="LAU"/>
    <s v="\Mission.Space_Seg.Spacecraft.trans_TWTA\P_duty_cyc\LAU\default"/>
    <n v="-1"/>
    <m/>
    <m/>
    <s v="-"/>
    <s v="COM"/>
    <m/>
    <s v="COM"/>
    <x v="1"/>
    <n v="4"/>
    <s v="Mission (Mission)"/>
    <s v="Space_Seg (Space Segment)"/>
    <x v="2"/>
    <x v="55"/>
    <m/>
  </r>
  <r>
    <s v="Mission.Space_Seg.Spacecraft.trans_TWTA"/>
    <m/>
    <x v="6"/>
    <s v="SAF"/>
    <s v="\Mission.Space_Seg.Spacecraft.trans_TWTA\P_duty_cyc\SAF\default"/>
    <n v="-1"/>
    <m/>
    <m/>
    <s v="-"/>
    <s v="COM"/>
    <m/>
    <s v="COM"/>
    <x v="1"/>
    <n v="4"/>
    <s v="Mission (Mission)"/>
    <s v="Space_Seg (Space Segment)"/>
    <x v="2"/>
    <x v="55"/>
    <m/>
  </r>
  <r>
    <s v="Mission.Space_Seg.Spacecraft.trans_TWTA"/>
    <m/>
    <x v="6"/>
    <s v="OBS"/>
    <s v="\Mission.Space_Seg.Spacecraft.trans_TWTA\P_duty_cyc\OBS\default"/>
    <s v="-"/>
    <m/>
    <m/>
    <s v="-"/>
    <s v="COM"/>
    <m/>
    <s v="COM"/>
    <x v="1"/>
    <n v="4"/>
    <s v="Mission (Mission)"/>
    <s v="Space_Seg (Space Segment)"/>
    <x v="2"/>
    <x v="55"/>
    <m/>
  </r>
  <r>
    <s v="Mission.Space_Seg.Spacecraft.trans_TWTA"/>
    <m/>
    <x v="6"/>
    <s v="COM"/>
    <s v="\Mission.Space_Seg.Spacecraft.trans_TWTA\P_duty_cyc\COM\default"/>
    <s v="-"/>
    <m/>
    <m/>
    <s v="-"/>
    <s v="COM"/>
    <m/>
    <s v="COM"/>
    <x v="1"/>
    <n v="4"/>
    <s v="Mission (Mission)"/>
    <s v="Space_Seg (Space Segment)"/>
    <x v="2"/>
    <x v="55"/>
    <m/>
  </r>
  <r>
    <s v="Mission.Space_Seg.Spacecraft.trans_TWTA"/>
    <m/>
    <x v="6"/>
    <s v="INJ"/>
    <s v="\Mission.Space_Seg.Spacecraft.trans_TWTA\P_duty_cyc\INJ\default"/>
    <n v="0"/>
    <m/>
    <m/>
    <s v="-"/>
    <s v="COM"/>
    <m/>
    <s v="COM"/>
    <x v="1"/>
    <n v="4"/>
    <s v="Mission (Mission)"/>
    <s v="Space_Seg (Space Segment)"/>
    <x v="2"/>
    <x v="55"/>
    <m/>
  </r>
  <r>
    <s v="Mission.Space_Seg.Spacecraft.trans_TWTA"/>
    <m/>
    <x v="6"/>
    <s v="CRU"/>
    <s v="\Mission.Space_Seg.Spacecraft.trans_TWTA\P_duty_cyc\CRU\default"/>
    <n v="0"/>
    <m/>
    <m/>
    <s v="-"/>
    <s v="COM"/>
    <m/>
    <s v="COM"/>
    <x v="1"/>
    <n v="4"/>
    <s v="Mission (Mission)"/>
    <s v="Space_Seg (Space Segment)"/>
    <x v="2"/>
    <x v="55"/>
    <m/>
  </r>
  <r>
    <s v="Mission.Space_Seg.Spacecraft.trans_TWTA"/>
    <m/>
    <x v="6"/>
    <s v="DEO"/>
    <s v="\Mission.Space_Seg.Spacecraft.trans_TWTA\P_duty_cyc\DEO\default"/>
    <n v="-1"/>
    <m/>
    <m/>
    <s v="-"/>
    <s v="COM"/>
    <m/>
    <s v="COM"/>
    <x v="1"/>
    <n v="4"/>
    <s v="Mission (Mission)"/>
    <s v="Space_Seg (Space Segment)"/>
    <x v="2"/>
    <x v="55"/>
    <m/>
  </r>
  <r>
    <s v="Mission.Space_Seg.Spacecraft.trans_TWTA"/>
    <m/>
    <x v="7"/>
    <m/>
    <s v="\Mission.Space_Seg.Spacecraft.trans_TWTA\redundancy.scheme\\default"/>
    <s v="-"/>
    <m/>
    <m/>
    <m/>
    <s v="COM"/>
    <m/>
    <s v="COM"/>
    <x v="1"/>
    <n v="4"/>
    <s v="Mission (Mission)"/>
    <s v="Space_Seg (Space Segment)"/>
    <x v="2"/>
    <x v="55"/>
    <m/>
  </r>
  <r>
    <s v="Mission.Space_Seg.Spacecraft.trans_TWTA"/>
    <m/>
    <x v="8"/>
    <m/>
    <s v="\Mission.Space_Seg.Spacecraft.trans_TWTA\redundancy.type\\default"/>
    <s v="-"/>
    <m/>
    <m/>
    <m/>
    <s v="COM"/>
    <m/>
    <s v="COM"/>
    <x v="1"/>
    <n v="4"/>
    <s v="Mission (Mission)"/>
    <s v="Space_Seg (Space Segment)"/>
    <x v="2"/>
    <x v="55"/>
    <m/>
  </r>
  <r>
    <s v="Mission.Space_Seg.Spacecraft.trans_TWTA"/>
    <m/>
    <x v="9"/>
    <m/>
    <s v="\Mission.Space_Seg.Spacecraft.trans_TWTA\redundancy.k\\default"/>
    <s v="-"/>
    <m/>
    <m/>
    <m/>
    <s v="COM"/>
    <m/>
    <s v="COM"/>
    <x v="1"/>
    <n v="4"/>
    <s v="Mission (Mission)"/>
    <s v="Space_Seg (Space Segment)"/>
    <x v="2"/>
    <x v="55"/>
    <m/>
  </r>
  <r>
    <s v="Mission.Space_Seg.Spacecraft.trans_TWTA"/>
    <m/>
    <x v="10"/>
    <m/>
    <s v="\Mission.Space_Seg.Spacecraft.trans_TWTA\redundancy.n\\default"/>
    <s v="-"/>
    <m/>
    <m/>
    <m/>
    <s v="COM"/>
    <m/>
    <s v="COM"/>
    <x v="1"/>
    <n v="4"/>
    <s v="Mission (Mission)"/>
    <s v="Space_Seg (Space Segment)"/>
    <x v="2"/>
    <x v="55"/>
    <m/>
  </r>
  <r>
    <s v="Mission.Space_Seg.Spacecraft.trans_TWTA"/>
    <m/>
    <x v="11"/>
    <m/>
    <s v="\Mission.Space_Seg.Spacecraft.trans_TWTA\Temp_oper_max\\default"/>
    <n v="60"/>
    <m/>
    <m/>
    <s v="°C"/>
    <s v="COM"/>
    <m/>
    <s v="COM"/>
    <x v="1"/>
    <n v="4"/>
    <s v="Mission (Mission)"/>
    <s v="Space_Seg (Space Segment)"/>
    <x v="2"/>
    <x v="55"/>
    <m/>
  </r>
  <r>
    <s v="Mission.Space_Seg.Spacecraft.trans_TWTA"/>
    <m/>
    <x v="12"/>
    <m/>
    <s v="\Mission.Space_Seg.Spacecraft.trans_TWTA\Temp_oper_min\\default"/>
    <n v="-40"/>
    <m/>
    <m/>
    <s v="°C"/>
    <s v="COM"/>
    <m/>
    <s v="COM"/>
    <x v="1"/>
    <n v="4"/>
    <s v="Mission (Mission)"/>
    <s v="Space_Seg (Space Segment)"/>
    <x v="2"/>
    <x v="55"/>
    <m/>
  </r>
  <r>
    <s v="Mission.Space_Seg.Spacecraft.trans_TWTA"/>
    <m/>
    <x v="13"/>
    <m/>
    <s v="\Mission.Space_Seg.Spacecraft.trans_TWTA\TRL\\default"/>
    <s v="-"/>
    <m/>
    <m/>
    <m/>
    <s v="COM"/>
    <m/>
    <s v="COM"/>
    <x v="1"/>
    <n v="4"/>
    <s v="Mission (Mission)"/>
    <s v="Space_Seg (Space Segment)"/>
    <x v="2"/>
    <x v="55"/>
    <m/>
  </r>
  <r>
    <s v="Mission.Space_Seg.Spacecraft.trans_TWTA"/>
    <s v="Dimensions"/>
    <x v="14"/>
    <m/>
    <s v="\Mission.Space_Seg.Spacecraft.trans_TWTA\wid\\default"/>
    <s v="-"/>
    <m/>
    <m/>
    <s v="m"/>
    <s v="COM"/>
    <m/>
    <s v="COM"/>
    <x v="1"/>
    <n v="4"/>
    <s v="Mission (Mission)"/>
    <s v="Space_Seg (Space Segment)"/>
    <x v="2"/>
    <x v="55"/>
    <m/>
  </r>
  <r>
    <s v="Mission.Space_Seg.Trans_SSPA"/>
    <m/>
    <x v="0"/>
    <m/>
    <s v="\Mission.Space_Seg.Trans_SSPA\_name_\\default"/>
    <s v="Transmitter SSPA"/>
    <m/>
    <m/>
    <m/>
    <s v="COM"/>
    <m/>
    <s v="COM"/>
    <x v="0"/>
    <n v="3"/>
    <s v="Mission (Mission)"/>
    <s v="Space_Seg (Space Segment)"/>
    <x v="3"/>
    <x v="0"/>
    <m/>
  </r>
  <r>
    <s v="Mission.Space_Seg.Trans_SSPA"/>
    <s v="Dimensions"/>
    <x v="1"/>
    <m/>
    <s v="\Mission.Space_Seg.Trans_SSPA\diam\\default"/>
    <s v="-"/>
    <m/>
    <m/>
    <s v="m"/>
    <s v="COM"/>
    <m/>
    <s v="COM"/>
    <x v="1"/>
    <n v="3"/>
    <s v="Mission (Mission)"/>
    <s v="Space_Seg (Space Segment)"/>
    <x v="3"/>
    <x v="0"/>
    <m/>
  </r>
  <r>
    <s v="Mission.Space_Seg.Trans_SSPA"/>
    <s v="Dimensions"/>
    <x v="2"/>
    <m/>
    <s v="\Mission.Space_Seg.Trans_SSPA\height\\default"/>
    <s v="-"/>
    <m/>
    <m/>
    <s v="m"/>
    <s v="COM"/>
    <m/>
    <s v="COM"/>
    <x v="1"/>
    <n v="3"/>
    <s v="Mission (Mission)"/>
    <s v="Space_Seg (Space Segment)"/>
    <x v="3"/>
    <x v="0"/>
    <m/>
  </r>
  <r>
    <s v="Mission.Space_Seg.Trans_SSPA"/>
    <s v="Dimensions"/>
    <x v="3"/>
    <m/>
    <s v="\Mission.Space_Seg.Trans_SSPA\len\\default"/>
    <s v="-"/>
    <m/>
    <m/>
    <s v="m"/>
    <s v="COM"/>
    <m/>
    <s v="COM"/>
    <x v="1"/>
    <n v="3"/>
    <s v="Mission (Mission)"/>
    <s v="Space_Seg (Space Segment)"/>
    <x v="3"/>
    <x v="0"/>
    <m/>
  </r>
  <r>
    <s v="Mission.Space_Seg.Trans_SSPA"/>
    <m/>
    <x v="4"/>
    <m/>
    <s v="\Mission.Space_Seg.Trans_SSPA\m\\default"/>
    <n v="1.1000000000000001"/>
    <n v="10"/>
    <n v="0.11000000000000001"/>
    <s v="kg"/>
    <s v="COM"/>
    <m/>
    <s v="COM"/>
    <x v="1"/>
    <n v="3"/>
    <s v="Mission (Mission)"/>
    <s v="Space_Seg (Space Segment)"/>
    <x v="3"/>
    <x v="0"/>
    <m/>
  </r>
  <r>
    <s v="Mission.Space_Seg.Trans_SSPA"/>
    <m/>
    <x v="5"/>
    <m/>
    <s v="\Mission.Space_Seg.Trans_SSPA\P\\default"/>
    <n v="22"/>
    <m/>
    <m/>
    <s v="W"/>
    <s v="COM"/>
    <m/>
    <s v="COM"/>
    <x v="1"/>
    <n v="3"/>
    <s v="Mission (Mission)"/>
    <s v="Space_Seg (Space Segment)"/>
    <x v="3"/>
    <x v="0"/>
    <m/>
  </r>
  <r>
    <s v="Mission.Space_Seg.Trans_SSPA"/>
    <m/>
    <x v="6"/>
    <s v="LAU"/>
    <s v="\Mission.Space_Seg.Trans_SSPA\P_duty_cyc\LAU\default"/>
    <n v="-1"/>
    <m/>
    <m/>
    <s v="-"/>
    <s v="COM"/>
    <m/>
    <s v="COM"/>
    <x v="1"/>
    <n v="3"/>
    <s v="Mission (Mission)"/>
    <s v="Space_Seg (Space Segment)"/>
    <x v="3"/>
    <x v="0"/>
    <m/>
  </r>
  <r>
    <s v="Mission.Space_Seg.Trans_SSPA"/>
    <m/>
    <x v="6"/>
    <s v="SAF"/>
    <s v="\Mission.Space_Seg.Trans_SSPA\P_duty_cyc\SAF\default"/>
    <n v="-1"/>
    <m/>
    <m/>
    <s v="-"/>
    <s v="COM"/>
    <m/>
    <s v="COM"/>
    <x v="1"/>
    <n v="3"/>
    <s v="Mission (Mission)"/>
    <s v="Space_Seg (Space Segment)"/>
    <x v="3"/>
    <x v="0"/>
    <m/>
  </r>
  <r>
    <s v="Mission.Space_Seg.Trans_SSPA"/>
    <m/>
    <x v="6"/>
    <s v="OBS"/>
    <s v="\Mission.Space_Seg.Trans_SSPA\P_duty_cyc\OBS\default"/>
    <s v="-"/>
    <m/>
    <m/>
    <s v="-"/>
    <s v="COM"/>
    <m/>
    <s v="COM"/>
    <x v="1"/>
    <n v="3"/>
    <s v="Mission (Mission)"/>
    <s v="Space_Seg (Space Segment)"/>
    <x v="3"/>
    <x v="0"/>
    <m/>
  </r>
  <r>
    <s v="Mission.Space_Seg.Trans_SSPA"/>
    <m/>
    <x v="6"/>
    <s v="COM"/>
    <s v="\Mission.Space_Seg.Trans_SSPA\P_duty_cyc\COM\default"/>
    <s v="-"/>
    <m/>
    <m/>
    <s v="-"/>
    <s v="COM"/>
    <m/>
    <s v="COM"/>
    <x v="1"/>
    <n v="3"/>
    <s v="Mission (Mission)"/>
    <s v="Space_Seg (Space Segment)"/>
    <x v="3"/>
    <x v="0"/>
    <m/>
  </r>
  <r>
    <s v="Mission.Space_Seg.Trans_SSPA"/>
    <m/>
    <x v="6"/>
    <s v="INJ"/>
    <s v="\Mission.Space_Seg.Trans_SSPA\P_duty_cyc\INJ\default"/>
    <n v="0"/>
    <m/>
    <m/>
    <s v="-"/>
    <s v="COM"/>
    <m/>
    <s v="COM"/>
    <x v="1"/>
    <n v="3"/>
    <s v="Mission (Mission)"/>
    <s v="Space_Seg (Space Segment)"/>
    <x v="3"/>
    <x v="0"/>
    <m/>
  </r>
  <r>
    <s v="Mission.Space_Seg.Trans_SSPA"/>
    <m/>
    <x v="6"/>
    <s v="CRU"/>
    <s v="\Mission.Space_Seg.Trans_SSPA\P_duty_cyc\CRU\default"/>
    <n v="0"/>
    <m/>
    <m/>
    <s v="-"/>
    <s v="COM"/>
    <m/>
    <s v="COM"/>
    <x v="1"/>
    <n v="3"/>
    <s v="Mission (Mission)"/>
    <s v="Space_Seg (Space Segment)"/>
    <x v="3"/>
    <x v="0"/>
    <m/>
  </r>
  <r>
    <s v="Mission.Space_Seg.Trans_SSPA"/>
    <m/>
    <x v="6"/>
    <s v="DEO"/>
    <s v="\Mission.Space_Seg.Trans_SSPA\P_duty_cyc\DEO\default"/>
    <n v="-1"/>
    <m/>
    <m/>
    <s v="-"/>
    <s v="COM"/>
    <m/>
    <s v="COM"/>
    <x v="1"/>
    <n v="3"/>
    <s v="Mission (Mission)"/>
    <s v="Space_Seg (Space Segment)"/>
    <x v="3"/>
    <x v="0"/>
    <m/>
  </r>
  <r>
    <s v="Mission.Space_Seg.Trans_SSPA"/>
    <m/>
    <x v="7"/>
    <m/>
    <s v="\Mission.Space_Seg.Trans_SSPA\redundancy.scheme\\default"/>
    <s v="-"/>
    <m/>
    <m/>
    <m/>
    <s v="COM"/>
    <m/>
    <s v="COM"/>
    <x v="1"/>
    <n v="3"/>
    <s v="Mission (Mission)"/>
    <s v="Space_Seg (Space Segment)"/>
    <x v="3"/>
    <x v="0"/>
    <m/>
  </r>
  <r>
    <s v="Mission.Space_Seg.Trans_SSPA"/>
    <m/>
    <x v="8"/>
    <m/>
    <s v="\Mission.Space_Seg.Trans_SSPA\redundancy.type\\default"/>
    <s v="-"/>
    <m/>
    <m/>
    <m/>
    <s v="COM"/>
    <m/>
    <s v="COM"/>
    <x v="1"/>
    <n v="3"/>
    <s v="Mission (Mission)"/>
    <s v="Space_Seg (Space Segment)"/>
    <x v="3"/>
    <x v="0"/>
    <m/>
  </r>
  <r>
    <s v="Mission.Space_Seg.Trans_SSPA"/>
    <m/>
    <x v="9"/>
    <m/>
    <s v="\Mission.Space_Seg.Trans_SSPA\redundancy.k\\default"/>
    <s v="-"/>
    <m/>
    <m/>
    <m/>
    <s v="COM"/>
    <m/>
    <s v="COM"/>
    <x v="1"/>
    <n v="3"/>
    <s v="Mission (Mission)"/>
    <s v="Space_Seg (Space Segment)"/>
    <x v="3"/>
    <x v="0"/>
    <m/>
  </r>
  <r>
    <s v="Mission.Space_Seg.Trans_SSPA"/>
    <m/>
    <x v="10"/>
    <m/>
    <s v="\Mission.Space_Seg.Trans_SSPA\redundancy.n\\default"/>
    <s v="-"/>
    <m/>
    <m/>
    <m/>
    <s v="COM"/>
    <m/>
    <s v="COM"/>
    <x v="1"/>
    <n v="3"/>
    <s v="Mission (Mission)"/>
    <s v="Space_Seg (Space Segment)"/>
    <x v="3"/>
    <x v="0"/>
    <m/>
  </r>
  <r>
    <s v="Mission.Space_Seg.Trans_SSPA"/>
    <m/>
    <x v="11"/>
    <m/>
    <s v="\Mission.Space_Seg.Trans_SSPA\Temp_oper_max\\default"/>
    <n v="60"/>
    <m/>
    <m/>
    <s v="°C"/>
    <s v="COM"/>
    <m/>
    <s v="COM"/>
    <x v="1"/>
    <n v="3"/>
    <s v="Mission (Mission)"/>
    <s v="Space_Seg (Space Segment)"/>
    <x v="3"/>
    <x v="0"/>
    <m/>
  </r>
  <r>
    <s v="Mission.Space_Seg.Trans_SSPA"/>
    <m/>
    <x v="12"/>
    <m/>
    <s v="\Mission.Space_Seg.Trans_SSPA\Temp_oper_min\\default"/>
    <n v="-40"/>
    <m/>
    <m/>
    <s v="°C"/>
    <s v="COM"/>
    <m/>
    <s v="COM"/>
    <x v="1"/>
    <n v="3"/>
    <s v="Mission (Mission)"/>
    <s v="Space_Seg (Space Segment)"/>
    <x v="3"/>
    <x v="0"/>
    <m/>
  </r>
  <r>
    <s v="Mission.Space_Seg.Trans_SSPA"/>
    <m/>
    <x v="13"/>
    <m/>
    <s v="\Mission.Space_Seg.Trans_SSPA\TRL\\default"/>
    <s v="-"/>
    <m/>
    <m/>
    <m/>
    <s v="COM"/>
    <m/>
    <s v="COM"/>
    <x v="1"/>
    <n v="3"/>
    <s v="Mission (Mission)"/>
    <s v="Space_Seg (Space Segment)"/>
    <x v="3"/>
    <x v="0"/>
    <m/>
  </r>
  <r>
    <s v="Mission.Space_Seg.Trans_SSPA"/>
    <s v="Dimensions"/>
    <x v="14"/>
    <m/>
    <s v="\Mission.Space_Seg.Trans_SSPA\wid\\default"/>
    <s v="-"/>
    <m/>
    <m/>
    <s v="m"/>
    <s v="COM"/>
    <m/>
    <s v="COM"/>
    <x v="1"/>
    <n v="3"/>
    <s v="Mission (Mission)"/>
    <s v="Space_Seg (Space Segment)"/>
    <x v="3"/>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r>
    <m/>
    <m/>
    <x v="33"/>
    <m/>
    <m/>
    <m/>
    <m/>
    <m/>
    <m/>
    <m/>
    <m/>
    <m/>
    <x v="0"/>
    <m/>
    <m/>
    <m/>
    <x v="0"/>
    <x v="0"/>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1" applyNumberFormats="0" applyBorderFormats="0" applyFontFormats="0" applyPatternFormats="0" applyAlignmentFormats="0" applyWidthHeightFormats="1" dataCaption="Values" updatedVersion="6" minRefreshableVersion="3" showCalcMbrs="0" useAutoFormatting="1" itemPrintTitles="1" createdVersion="3" indent="0" outline="1" outlineData="1" multipleFieldFilters="0">
  <location ref="C7:F58" firstHeaderRow="1" firstDataRow="2" firstDataCol="1"/>
  <pivotFields count="21">
    <pivotField showAll="0"/>
    <pivotField showAll="0"/>
    <pivotField name="Parameters" axis="axisCol" showAll="0">
      <items count="36">
        <item h="1" x="0"/>
        <item h="1" x="1"/>
        <item h="1" x="2"/>
        <item h="1" x="3"/>
        <item h="1" x="4"/>
        <item h="1" x="16"/>
        <item h="1" x="17"/>
        <item h="1" x="5"/>
        <item h="1" x="6"/>
        <item h="1" x="9"/>
        <item h="1" x="10"/>
        <item h="1" x="7"/>
        <item h="1" x="8"/>
        <item x="11"/>
        <item x="12"/>
        <item h="1" x="13"/>
        <item h="1" x="14"/>
        <item h="1" x="33"/>
        <item h="1" x="30"/>
        <item h="1" m="1" x="34"/>
        <item h="1" x="32"/>
        <item h="1" x="29"/>
        <item h="1" x="19"/>
        <item h="1" x="20"/>
        <item h="1" x="15"/>
        <item h="1" x="18"/>
        <item h="1" x="21"/>
        <item h="1" x="22"/>
        <item h="1" x="23"/>
        <item h="1" x="24"/>
        <item h="1" x="25"/>
        <item h="1" x="26"/>
        <item h="1" x="27"/>
        <item h="1" x="28"/>
        <item h="1" x="31"/>
        <item t="default"/>
      </items>
    </pivotField>
    <pivotField showAll="0"/>
    <pivotField showAll="0"/>
    <pivotField dataField="1" showAll="0"/>
    <pivotField showAll="0"/>
    <pivotField showAll="0"/>
    <pivotField showAll="0"/>
    <pivotField showAll="0"/>
    <pivotField showAll="0"/>
    <pivotField showAll="0"/>
    <pivotField axis="axisRow" showAll="0">
      <items count="4">
        <item x="2"/>
        <item x="1"/>
        <item sd="0" x="0"/>
        <item t="default"/>
      </items>
    </pivotField>
    <pivotField showAll="0"/>
    <pivotField showAll="0"/>
    <pivotField showAll="0"/>
    <pivotField showAll="0">
      <items count="5">
        <item x="1"/>
        <item x="2"/>
        <item x="3"/>
        <item x="0"/>
        <item t="default"/>
      </items>
    </pivotField>
    <pivotField axis="axisRow" showAll="0">
      <items count="57">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0"/>
        <item t="default"/>
      </items>
    </pivotField>
    <pivotField showAll="0"/>
    <pivotField dragToRow="0" dragToCol="0" dragToPage="0" showAll="0" defaultSubtotal="0"/>
    <pivotField dragToRow="0" dragToCol="0" dragToPage="0" showAll="0" defaultSubtotal="0"/>
  </pivotFields>
  <rowFields count="2">
    <field x="12"/>
    <field x="17"/>
  </rowFields>
  <rowItems count="50">
    <i>
      <x/>
    </i>
    <i r="1">
      <x v="25"/>
    </i>
    <i r="1">
      <x v="26"/>
    </i>
    <i>
      <x v="1"/>
    </i>
    <i r="1">
      <x/>
    </i>
    <i r="1">
      <x v="1"/>
    </i>
    <i r="1">
      <x v="2"/>
    </i>
    <i r="1">
      <x v="3"/>
    </i>
    <i r="1">
      <x v="4"/>
    </i>
    <i r="1">
      <x v="5"/>
    </i>
    <i r="1">
      <x v="6"/>
    </i>
    <i r="1">
      <x v="7"/>
    </i>
    <i r="1">
      <x v="8"/>
    </i>
    <i r="1">
      <x v="9"/>
    </i>
    <i r="1">
      <x v="10"/>
    </i>
    <i r="1">
      <x v="11"/>
    </i>
    <i r="1">
      <x v="13"/>
    </i>
    <i r="1">
      <x v="17"/>
    </i>
    <i r="1">
      <x v="18"/>
    </i>
    <i r="1">
      <x v="19"/>
    </i>
    <i r="1">
      <x v="20"/>
    </i>
    <i r="1">
      <x v="23"/>
    </i>
    <i r="1">
      <x v="24"/>
    </i>
    <i r="1">
      <x v="25"/>
    </i>
    <i r="1">
      <x v="27"/>
    </i>
    <i r="1">
      <x v="30"/>
    </i>
    <i r="1">
      <x v="31"/>
    </i>
    <i r="1">
      <x v="32"/>
    </i>
    <i r="1">
      <x v="33"/>
    </i>
    <i r="1">
      <x v="34"/>
    </i>
    <i r="1">
      <x v="35"/>
    </i>
    <i r="1">
      <x v="36"/>
    </i>
    <i r="1">
      <x v="37"/>
    </i>
    <i r="1">
      <x v="38"/>
    </i>
    <i r="1">
      <x v="39"/>
    </i>
    <i r="1">
      <x v="40"/>
    </i>
    <i r="1">
      <x v="41"/>
    </i>
    <i r="1">
      <x v="42"/>
    </i>
    <i r="1">
      <x v="43"/>
    </i>
    <i r="1">
      <x v="44"/>
    </i>
    <i r="1">
      <x v="45"/>
    </i>
    <i r="1">
      <x v="47"/>
    </i>
    <i r="1">
      <x v="48"/>
    </i>
    <i r="1">
      <x v="49"/>
    </i>
    <i r="1">
      <x v="50"/>
    </i>
    <i r="1">
      <x v="51"/>
    </i>
    <i r="1">
      <x v="52"/>
    </i>
    <i r="1">
      <x v="54"/>
    </i>
    <i r="1">
      <x v="55"/>
    </i>
    <i t="grand">
      <x/>
    </i>
  </rowItems>
  <colFields count="1">
    <field x="2"/>
  </colFields>
  <colItems count="3">
    <i>
      <x v="13"/>
    </i>
    <i>
      <x v="14"/>
    </i>
    <i t="grand">
      <x/>
    </i>
  </colItems>
  <dataFields count="1">
    <dataField name="Sum of Value" fld="5" baseField="18" baseItem="0"/>
  </dataFields>
  <pivotTableStyleInfo name="PivotStyleLight16" showRowHeaders="1" showColHeaders="1" showRowStripes="0" showColStripes="0" showLastColumn="1"/>
  <extLs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3.vml"/><Relationship Id="rId7" Type="http://schemas.openxmlformats.org/officeDocument/2006/relationships/ctrlProp" Target="../ctrlProps/ctrlProp4.xml"/><Relationship Id="rId2" Type="http://schemas.openxmlformats.org/officeDocument/2006/relationships/drawing" Target="../drawings/drawing6.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omments" Target="../comments2.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4.vml"/><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9.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6.vml"/><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F2:I2"/>
  <sheetViews>
    <sheetView workbookViewId="0">
      <selection activeCell="I3" sqref="I3"/>
    </sheetView>
  </sheetViews>
  <sheetFormatPr defaultColWidth="9.33203125" defaultRowHeight="12.75" x14ac:dyDescent="0.2"/>
  <cols>
    <col min="1" max="1" width="9.33203125" style="1"/>
    <col min="2" max="2" width="10.1640625" style="1" bestFit="1" customWidth="1"/>
    <col min="3" max="16384" width="9.33203125" style="1"/>
  </cols>
  <sheetData>
    <row r="2" spans="6:9" x14ac:dyDescent="0.2">
      <c r="F2" s="1" t="s">
        <v>215</v>
      </c>
      <c r="I2" s="1" t="s">
        <v>338</v>
      </c>
    </row>
  </sheetData>
  <phoneticPr fontId="24" type="noConversion"/>
  <pageMargins left="0.75" right="0.75" top="1" bottom="1" header="0.5" footer="0.5"/>
  <pageSetup paperSize="9" orientation="portrait" horizontalDpi="300" verticalDpi="300" r:id="rId1"/>
  <headerFooter alignWithMargins="0"/>
  <drawing r:id="rId2"/>
  <legacyDrawing r:id="rId3"/>
  <oleObjects>
    <mc:AlternateContent xmlns:mc="http://schemas.openxmlformats.org/markup-compatibility/2006">
      <mc:Choice Requires="x14">
        <oleObject progId="AcroExch.Document.7" shapeId="37889" r:id="rId4">
          <objectPr defaultSize="0" r:id="rId5">
            <anchor moveWithCells="1">
              <from>
                <xdr:col>3</xdr:col>
                <xdr:colOff>0</xdr:colOff>
                <xdr:row>3</xdr:row>
                <xdr:rowOff>0</xdr:rowOff>
              </from>
              <to>
                <xdr:col>17</xdr:col>
                <xdr:colOff>76200</xdr:colOff>
                <xdr:row>39</xdr:row>
                <xdr:rowOff>0</xdr:rowOff>
              </to>
            </anchor>
          </objectPr>
        </oleObject>
      </mc:Choice>
      <mc:Fallback>
        <oleObject progId="AcroExch.Document.7" shapeId="37889"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showGridLines="0" tabSelected="1" zoomScale="40" zoomScaleNormal="40" workbookViewId="0"/>
  </sheetViews>
  <sheetFormatPr defaultRowHeight="12.75" x14ac:dyDescent="0.2"/>
  <cols>
    <col min="1" max="16384" width="9.33203125" style="331"/>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9"/>
  <sheetViews>
    <sheetView workbookViewId="0">
      <selection activeCell="D13" sqref="D13"/>
    </sheetView>
  </sheetViews>
  <sheetFormatPr defaultRowHeight="12.75" x14ac:dyDescent="0.2"/>
  <cols>
    <col min="1" max="1" width="11.6640625" bestFit="1" customWidth="1"/>
    <col min="3" max="3" width="16.1640625" bestFit="1" customWidth="1"/>
    <col min="4" max="4" width="16.33203125" bestFit="1" customWidth="1"/>
    <col min="5" max="5" width="77.33203125" bestFit="1" customWidth="1"/>
    <col min="6" max="6" width="25.1640625" bestFit="1" customWidth="1"/>
  </cols>
  <sheetData>
    <row r="1" spans="1:6" ht="21" thickBot="1" x14ac:dyDescent="0.35">
      <c r="A1" s="224" t="s">
        <v>361</v>
      </c>
      <c r="B1" s="224" t="s">
        <v>362</v>
      </c>
      <c r="C1" s="224" t="s">
        <v>363</v>
      </c>
      <c r="D1" s="224" t="s">
        <v>364</v>
      </c>
      <c r="E1" s="224" t="s">
        <v>365</v>
      </c>
      <c r="F1" s="225" t="s">
        <v>366</v>
      </c>
    </row>
    <row r="2" spans="1:6" x14ac:dyDescent="0.2">
      <c r="A2" t="s">
        <v>367</v>
      </c>
      <c r="E2" s="227" t="s">
        <v>354</v>
      </c>
    </row>
    <row r="3" spans="1:6" x14ac:dyDescent="0.2">
      <c r="A3" t="s">
        <v>367</v>
      </c>
      <c r="E3" s="227" t="s">
        <v>355</v>
      </c>
    </row>
    <row r="4" spans="1:6" x14ac:dyDescent="0.2">
      <c r="A4" t="s">
        <v>367</v>
      </c>
      <c r="E4" s="227" t="s">
        <v>368</v>
      </c>
    </row>
    <row r="5" spans="1:6" ht="25.5" x14ac:dyDescent="0.2">
      <c r="A5" t="s">
        <v>367</v>
      </c>
      <c r="E5" s="227" t="s">
        <v>369</v>
      </c>
    </row>
    <row r="6" spans="1:6" x14ac:dyDescent="0.2">
      <c r="A6" t="s">
        <v>367</v>
      </c>
      <c r="E6" s="227" t="s">
        <v>356</v>
      </c>
    </row>
    <row r="7" spans="1:6" x14ac:dyDescent="0.2">
      <c r="A7" t="s">
        <v>367</v>
      </c>
      <c r="E7" s="227" t="s">
        <v>370</v>
      </c>
    </row>
    <row r="8" spans="1:6" x14ac:dyDescent="0.2">
      <c r="A8" t="s">
        <v>367</v>
      </c>
      <c r="E8" s="227" t="s">
        <v>371</v>
      </c>
    </row>
    <row r="9" spans="1:6" ht="38.25" x14ac:dyDescent="0.2">
      <c r="A9" t="s">
        <v>367</v>
      </c>
      <c r="E9" s="227" t="s">
        <v>373</v>
      </c>
      <c r="F9" s="226" t="s">
        <v>372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rgb="FF7030A0"/>
  </sheetPr>
  <dimension ref="A1"/>
  <sheetViews>
    <sheetView showGridLines="0" zoomScale="70" zoomScaleNormal="70" workbookViewId="0">
      <selection activeCell="R49" sqref="R49"/>
    </sheetView>
  </sheetViews>
  <sheetFormatPr defaultRowHeight="12.75" x14ac:dyDescent="0.2"/>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538DD5"/>
  </sheetPr>
  <dimension ref="C5:J58"/>
  <sheetViews>
    <sheetView showGridLines="0" topLeftCell="B1" zoomScale="85" zoomScaleNormal="85" workbookViewId="0">
      <selection activeCell="I12" sqref="I12"/>
    </sheetView>
  </sheetViews>
  <sheetFormatPr defaultColWidth="12.33203125" defaultRowHeight="12.75" x14ac:dyDescent="0.2"/>
  <cols>
    <col min="3" max="3" width="45.83203125" customWidth="1"/>
    <col min="4" max="4" width="17.33203125" bestFit="1" customWidth="1"/>
    <col min="5" max="5" width="15.5" bestFit="1" customWidth="1"/>
    <col min="6" max="6" width="11.6640625" customWidth="1"/>
    <col min="7" max="7" width="12.1640625" bestFit="1" customWidth="1"/>
    <col min="8" max="8" width="32.83203125" bestFit="1" customWidth="1"/>
    <col min="9" max="9" width="11.33203125" customWidth="1"/>
  </cols>
  <sheetData>
    <row r="5" spans="3:10" ht="75" customHeight="1" x14ac:dyDescent="0.2">
      <c r="C5" s="334" t="s">
        <v>468</v>
      </c>
      <c r="D5" s="335"/>
      <c r="E5" s="335"/>
      <c r="F5" s="335"/>
      <c r="G5" s="335"/>
      <c r="H5" s="335"/>
      <c r="I5" s="336"/>
    </row>
    <row r="7" spans="3:10" x14ac:dyDescent="0.2">
      <c r="C7" s="316" t="s">
        <v>460</v>
      </c>
      <c r="D7" s="316" t="s">
        <v>461</v>
      </c>
    </row>
    <row r="8" spans="3:10" ht="13.5" thickBot="1" x14ac:dyDescent="0.25">
      <c r="C8" s="316" t="s">
        <v>462</v>
      </c>
      <c r="D8" t="s">
        <v>466</v>
      </c>
      <c r="E8" t="s">
        <v>467</v>
      </c>
      <c r="F8" t="s">
        <v>463</v>
      </c>
    </row>
    <row r="9" spans="3:10" ht="13.5" thickTop="1" x14ac:dyDescent="0.2">
      <c r="C9" s="314" t="s">
        <v>469</v>
      </c>
      <c r="D9">
        <v>3000</v>
      </c>
      <c r="E9">
        <v>180</v>
      </c>
      <c r="F9">
        <v>3180</v>
      </c>
      <c r="H9" s="337" t="s">
        <v>389</v>
      </c>
      <c r="I9" s="338"/>
      <c r="J9" s="339"/>
    </row>
    <row r="10" spans="3:10" x14ac:dyDescent="0.2">
      <c r="C10" s="315" t="s">
        <v>489</v>
      </c>
      <c r="D10">
        <v>1500</v>
      </c>
      <c r="E10">
        <v>90</v>
      </c>
      <c r="F10">
        <v>1590</v>
      </c>
      <c r="H10" s="237" t="s">
        <v>38</v>
      </c>
      <c r="I10" s="235">
        <f>MIN(D13:D129)</f>
        <v>0</v>
      </c>
      <c r="J10" s="238" t="s">
        <v>35</v>
      </c>
    </row>
    <row r="11" spans="3:10" ht="13.5" thickBot="1" x14ac:dyDescent="0.25">
      <c r="C11" s="315" t="s">
        <v>490</v>
      </c>
      <c r="D11">
        <v>1500</v>
      </c>
      <c r="E11">
        <v>90</v>
      </c>
      <c r="F11">
        <v>1590</v>
      </c>
      <c r="H11" s="89" t="s">
        <v>39</v>
      </c>
      <c r="I11" s="236">
        <f>MAX(E13:E130)</f>
        <v>90</v>
      </c>
      <c r="J11" s="239" t="s">
        <v>35</v>
      </c>
    </row>
    <row r="12" spans="3:10" ht="13.5" thickTop="1" x14ac:dyDescent="0.2">
      <c r="C12" s="314" t="s">
        <v>464</v>
      </c>
      <c r="D12">
        <v>3850</v>
      </c>
      <c r="E12">
        <v>-1179</v>
      </c>
      <c r="F12">
        <v>2671</v>
      </c>
    </row>
    <row r="13" spans="3:10" x14ac:dyDescent="0.2">
      <c r="C13" s="315" t="s">
        <v>470</v>
      </c>
      <c r="D13">
        <v>60</v>
      </c>
      <c r="E13">
        <v>-40</v>
      </c>
      <c r="F13">
        <v>20</v>
      </c>
    </row>
    <row r="14" spans="3:10" x14ac:dyDescent="0.2">
      <c r="C14" s="315" t="s">
        <v>471</v>
      </c>
      <c r="D14">
        <v>60</v>
      </c>
      <c r="E14">
        <v>-40</v>
      </c>
      <c r="F14">
        <v>20</v>
      </c>
    </row>
    <row r="15" spans="3:10" x14ac:dyDescent="0.2">
      <c r="C15" s="315" t="s">
        <v>472</v>
      </c>
      <c r="D15">
        <v>60</v>
      </c>
      <c r="E15">
        <v>-40</v>
      </c>
      <c r="F15">
        <v>20</v>
      </c>
    </row>
    <row r="16" spans="3:10" x14ac:dyDescent="0.2">
      <c r="C16" s="315" t="s">
        <v>473</v>
      </c>
      <c r="D16">
        <v>60</v>
      </c>
      <c r="E16">
        <v>-40</v>
      </c>
      <c r="F16">
        <v>20</v>
      </c>
    </row>
    <row r="17" spans="3:6" x14ac:dyDescent="0.2">
      <c r="C17" s="315" t="s">
        <v>474</v>
      </c>
      <c r="D17">
        <v>60</v>
      </c>
      <c r="E17">
        <v>-40</v>
      </c>
      <c r="F17">
        <v>20</v>
      </c>
    </row>
    <row r="18" spans="3:6" x14ac:dyDescent="0.2">
      <c r="C18" s="315" t="s">
        <v>475</v>
      </c>
      <c r="D18">
        <v>60</v>
      </c>
      <c r="E18">
        <v>-40</v>
      </c>
      <c r="F18">
        <v>20</v>
      </c>
    </row>
    <row r="19" spans="3:6" x14ac:dyDescent="0.2">
      <c r="C19" s="315" t="s">
        <v>476</v>
      </c>
      <c r="D19">
        <v>60</v>
      </c>
      <c r="E19">
        <v>-40</v>
      </c>
      <c r="F19">
        <v>20</v>
      </c>
    </row>
    <row r="20" spans="3:6" x14ac:dyDescent="0.2">
      <c r="C20" s="315" t="s">
        <v>477</v>
      </c>
      <c r="D20">
        <v>60</v>
      </c>
      <c r="E20">
        <v>-40</v>
      </c>
      <c r="F20">
        <v>20</v>
      </c>
    </row>
    <row r="21" spans="3:6" x14ac:dyDescent="0.2">
      <c r="C21" s="315" t="s">
        <v>478</v>
      </c>
      <c r="D21">
        <v>60</v>
      </c>
      <c r="E21">
        <v>-40</v>
      </c>
      <c r="F21">
        <v>20</v>
      </c>
    </row>
    <row r="22" spans="3:6" x14ac:dyDescent="0.2">
      <c r="C22" s="315" t="s">
        <v>479</v>
      </c>
      <c r="D22">
        <v>65</v>
      </c>
      <c r="E22">
        <v>-30</v>
      </c>
      <c r="F22">
        <v>35</v>
      </c>
    </row>
    <row r="23" spans="3:6" x14ac:dyDescent="0.2">
      <c r="C23" s="315" t="s">
        <v>480</v>
      </c>
      <c r="D23">
        <v>135</v>
      </c>
      <c r="E23">
        <v>-135</v>
      </c>
      <c r="F23">
        <v>0</v>
      </c>
    </row>
    <row r="24" spans="3:6" x14ac:dyDescent="0.2">
      <c r="C24" s="315" t="s">
        <v>481</v>
      </c>
      <c r="D24">
        <v>60</v>
      </c>
      <c r="E24">
        <v>-40</v>
      </c>
      <c r="F24">
        <v>20</v>
      </c>
    </row>
    <row r="25" spans="3:6" x14ac:dyDescent="0.2">
      <c r="C25" s="315" t="s">
        <v>482</v>
      </c>
      <c r="D25">
        <v>0</v>
      </c>
      <c r="E25">
        <v>0</v>
      </c>
      <c r="F25">
        <v>0</v>
      </c>
    </row>
    <row r="26" spans="3:6" x14ac:dyDescent="0.2">
      <c r="C26" s="315" t="s">
        <v>483</v>
      </c>
      <c r="D26">
        <v>71</v>
      </c>
      <c r="E26">
        <v>-54</v>
      </c>
      <c r="F26">
        <v>17</v>
      </c>
    </row>
    <row r="27" spans="3:6" x14ac:dyDescent="0.2">
      <c r="C27" s="315" t="s">
        <v>484</v>
      </c>
      <c r="D27">
        <v>71</v>
      </c>
      <c r="E27">
        <v>-54</v>
      </c>
      <c r="F27">
        <v>17</v>
      </c>
    </row>
    <row r="28" spans="3:6" x14ac:dyDescent="0.2">
      <c r="C28" s="315" t="s">
        <v>485</v>
      </c>
      <c r="D28">
        <v>87</v>
      </c>
      <c r="E28">
        <v>-52</v>
      </c>
      <c r="F28">
        <v>35</v>
      </c>
    </row>
    <row r="29" spans="3:6" x14ac:dyDescent="0.2">
      <c r="C29" s="315" t="s">
        <v>486</v>
      </c>
      <c r="D29">
        <v>21</v>
      </c>
      <c r="E29">
        <v>11</v>
      </c>
      <c r="F29">
        <v>32</v>
      </c>
    </row>
    <row r="30" spans="3:6" x14ac:dyDescent="0.2">
      <c r="C30" s="315" t="s">
        <v>487</v>
      </c>
      <c r="D30">
        <v>0</v>
      </c>
      <c r="E30">
        <v>0</v>
      </c>
      <c r="F30">
        <v>0</v>
      </c>
    </row>
    <row r="31" spans="3:6" x14ac:dyDescent="0.2">
      <c r="C31" s="315" t="s">
        <v>488</v>
      </c>
      <c r="D31">
        <v>300</v>
      </c>
      <c r="E31">
        <v>-100</v>
      </c>
      <c r="F31">
        <v>200</v>
      </c>
    </row>
    <row r="32" spans="3:6" x14ac:dyDescent="0.2">
      <c r="C32" s="315" t="s">
        <v>489</v>
      </c>
      <c r="D32">
        <v>300</v>
      </c>
      <c r="E32">
        <v>-100</v>
      </c>
      <c r="F32">
        <v>200</v>
      </c>
    </row>
    <row r="33" spans="3:6" x14ac:dyDescent="0.2">
      <c r="C33" s="315" t="s">
        <v>491</v>
      </c>
      <c r="D33">
        <v>80</v>
      </c>
      <c r="E33">
        <v>-30</v>
      </c>
      <c r="F33">
        <v>50</v>
      </c>
    </row>
    <row r="34" spans="3:6" x14ac:dyDescent="0.2">
      <c r="C34" s="315" t="s">
        <v>492</v>
      </c>
      <c r="D34">
        <v>0</v>
      </c>
      <c r="E34">
        <v>0</v>
      </c>
      <c r="F34">
        <v>0</v>
      </c>
    </row>
    <row r="35" spans="3:6" x14ac:dyDescent="0.2">
      <c r="C35" s="315" t="s">
        <v>493</v>
      </c>
      <c r="D35">
        <v>0</v>
      </c>
      <c r="E35">
        <v>0</v>
      </c>
      <c r="F35">
        <v>0</v>
      </c>
    </row>
    <row r="36" spans="3:6" x14ac:dyDescent="0.2">
      <c r="C36" s="315" t="s">
        <v>494</v>
      </c>
      <c r="D36">
        <v>1500</v>
      </c>
      <c r="E36">
        <v>90</v>
      </c>
      <c r="F36">
        <v>1590</v>
      </c>
    </row>
    <row r="37" spans="3:6" x14ac:dyDescent="0.2">
      <c r="C37" s="315" t="s">
        <v>495</v>
      </c>
      <c r="D37">
        <v>60</v>
      </c>
      <c r="E37">
        <v>-40</v>
      </c>
      <c r="F37">
        <v>20</v>
      </c>
    </row>
    <row r="38" spans="3:6" x14ac:dyDescent="0.2">
      <c r="C38" s="315" t="s">
        <v>496</v>
      </c>
      <c r="D38">
        <v>50</v>
      </c>
      <c r="E38">
        <v>-20</v>
      </c>
      <c r="F38">
        <v>30</v>
      </c>
    </row>
    <row r="39" spans="3:6" x14ac:dyDescent="0.2">
      <c r="C39" s="315" t="s">
        <v>497</v>
      </c>
      <c r="D39">
        <v>50</v>
      </c>
      <c r="E39">
        <v>-20</v>
      </c>
      <c r="F39">
        <v>30</v>
      </c>
    </row>
    <row r="40" spans="3:6" x14ac:dyDescent="0.2">
      <c r="C40" s="315" t="s">
        <v>498</v>
      </c>
      <c r="D40">
        <v>50</v>
      </c>
      <c r="E40">
        <v>-20</v>
      </c>
      <c r="F40">
        <v>30</v>
      </c>
    </row>
    <row r="41" spans="3:6" x14ac:dyDescent="0.2">
      <c r="C41" s="315" t="s">
        <v>499</v>
      </c>
      <c r="D41">
        <v>50</v>
      </c>
      <c r="E41">
        <v>-20</v>
      </c>
      <c r="F41">
        <v>30</v>
      </c>
    </row>
    <row r="42" spans="3:6" x14ac:dyDescent="0.2">
      <c r="C42" s="315" t="s">
        <v>500</v>
      </c>
      <c r="D42">
        <v>0</v>
      </c>
      <c r="E42">
        <v>0</v>
      </c>
      <c r="F42">
        <v>0</v>
      </c>
    </row>
    <row r="43" spans="3:6" x14ac:dyDescent="0.2">
      <c r="C43" s="315" t="s">
        <v>501</v>
      </c>
      <c r="D43">
        <v>0</v>
      </c>
      <c r="E43">
        <v>0</v>
      </c>
      <c r="F43">
        <v>0</v>
      </c>
    </row>
    <row r="44" spans="3:6" x14ac:dyDescent="0.2">
      <c r="C44" s="315" t="s">
        <v>502</v>
      </c>
      <c r="D44">
        <v>100</v>
      </c>
      <c r="E44">
        <v>-35</v>
      </c>
      <c r="F44">
        <v>65</v>
      </c>
    </row>
    <row r="45" spans="3:6" x14ac:dyDescent="0.2">
      <c r="C45" s="315" t="s">
        <v>503</v>
      </c>
      <c r="D45">
        <v>60</v>
      </c>
      <c r="E45">
        <v>-30</v>
      </c>
      <c r="F45">
        <v>30</v>
      </c>
    </row>
    <row r="46" spans="3:6" x14ac:dyDescent="0.2">
      <c r="C46" s="315" t="s">
        <v>504</v>
      </c>
      <c r="D46">
        <v>0</v>
      </c>
      <c r="E46">
        <v>0</v>
      </c>
      <c r="F46">
        <v>0</v>
      </c>
    </row>
    <row r="47" spans="3:6" x14ac:dyDescent="0.2">
      <c r="C47" s="315" t="s">
        <v>505</v>
      </c>
      <c r="D47">
        <v>0</v>
      </c>
      <c r="E47">
        <v>0</v>
      </c>
      <c r="F47">
        <v>0</v>
      </c>
    </row>
    <row r="48" spans="3:6" x14ac:dyDescent="0.2">
      <c r="C48" s="315" t="s">
        <v>506</v>
      </c>
      <c r="D48">
        <v>40</v>
      </c>
      <c r="E48">
        <v>-30</v>
      </c>
      <c r="F48">
        <v>10</v>
      </c>
    </row>
    <row r="49" spans="3:6" x14ac:dyDescent="0.2">
      <c r="C49" s="315" t="s">
        <v>507</v>
      </c>
      <c r="D49">
        <v>40</v>
      </c>
      <c r="E49">
        <v>-30</v>
      </c>
      <c r="F49">
        <v>10</v>
      </c>
    </row>
    <row r="50" spans="3:6" x14ac:dyDescent="0.2">
      <c r="C50" s="315" t="s">
        <v>508</v>
      </c>
      <c r="D50">
        <v>0</v>
      </c>
      <c r="E50">
        <v>0</v>
      </c>
      <c r="F50">
        <v>0</v>
      </c>
    </row>
    <row r="51" spans="3:6" x14ac:dyDescent="0.2">
      <c r="C51" s="315" t="s">
        <v>509</v>
      </c>
      <c r="D51">
        <v>0</v>
      </c>
      <c r="E51">
        <v>0</v>
      </c>
      <c r="F51">
        <v>0</v>
      </c>
    </row>
    <row r="52" spans="3:6" x14ac:dyDescent="0.2">
      <c r="C52" s="315" t="s">
        <v>510</v>
      </c>
      <c r="D52">
        <v>0</v>
      </c>
      <c r="E52">
        <v>0</v>
      </c>
      <c r="F52">
        <v>0</v>
      </c>
    </row>
    <row r="53" spans="3:6" x14ac:dyDescent="0.2">
      <c r="C53" s="315" t="s">
        <v>511</v>
      </c>
      <c r="D53">
        <v>0</v>
      </c>
      <c r="E53">
        <v>0</v>
      </c>
      <c r="F53">
        <v>0</v>
      </c>
    </row>
    <row r="54" spans="3:6" x14ac:dyDescent="0.2">
      <c r="C54" s="315" t="s">
        <v>512</v>
      </c>
      <c r="D54">
        <v>0</v>
      </c>
      <c r="E54">
        <v>0</v>
      </c>
      <c r="F54">
        <v>0</v>
      </c>
    </row>
    <row r="55" spans="3:6" x14ac:dyDescent="0.2">
      <c r="C55" s="315" t="s">
        <v>513</v>
      </c>
      <c r="D55">
        <v>0</v>
      </c>
      <c r="E55">
        <v>0</v>
      </c>
      <c r="F55">
        <v>0</v>
      </c>
    </row>
    <row r="56" spans="3:6" x14ac:dyDescent="0.2">
      <c r="C56" s="315" t="s">
        <v>514</v>
      </c>
      <c r="D56">
        <v>60</v>
      </c>
      <c r="E56">
        <v>-40</v>
      </c>
      <c r="F56">
        <v>20</v>
      </c>
    </row>
    <row r="57" spans="3:6" x14ac:dyDescent="0.2">
      <c r="C57" s="315" t="s">
        <v>465</v>
      </c>
      <c r="D57">
        <v>60</v>
      </c>
      <c r="E57">
        <v>-40</v>
      </c>
      <c r="F57">
        <v>20</v>
      </c>
    </row>
    <row r="58" spans="3:6" x14ac:dyDescent="0.2">
      <c r="C58" s="314" t="s">
        <v>463</v>
      </c>
      <c r="D58">
        <v>6850</v>
      </c>
      <c r="E58">
        <v>-999</v>
      </c>
      <c r="F58">
        <v>5851</v>
      </c>
    </row>
  </sheetData>
  <mergeCells count="2">
    <mergeCell ref="C5:I5"/>
    <mergeCell ref="H9:J9"/>
  </mergeCells>
  <pageMargins left="0.7" right="0.7" top="0.75" bottom="0.75" header="0.3" footer="0.3"/>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theme="3" tint="0.39997558519241921"/>
  </sheetPr>
  <dimension ref="D3:L125"/>
  <sheetViews>
    <sheetView showGridLines="0" topLeftCell="B1" zoomScaleNormal="100" workbookViewId="0">
      <selection activeCell="J17" sqref="J17"/>
    </sheetView>
  </sheetViews>
  <sheetFormatPr defaultRowHeight="12.75" x14ac:dyDescent="0.2"/>
  <cols>
    <col min="2" max="2" width="9.5" bestFit="1" customWidth="1"/>
    <col min="3" max="3" width="10.33203125" bestFit="1" customWidth="1"/>
    <col min="4" max="4" width="9.83203125" bestFit="1" customWidth="1"/>
    <col min="5" max="5" width="13.6640625" bestFit="1" customWidth="1"/>
    <col min="6" max="6" width="37.33203125" bestFit="1" customWidth="1"/>
    <col min="7" max="7" width="36.1640625" bestFit="1" customWidth="1"/>
    <col min="8" max="8" width="22.33203125" bestFit="1" customWidth="1"/>
    <col min="9" max="9" width="10.33203125" customWidth="1"/>
    <col min="10" max="10" width="32" bestFit="1" customWidth="1"/>
    <col min="11" max="11" width="8.6640625" customWidth="1"/>
    <col min="12" max="12" width="11.83203125" customWidth="1"/>
    <col min="14" max="14" width="8" customWidth="1"/>
  </cols>
  <sheetData>
    <row r="3" spans="4:12" ht="42.6" customHeight="1" x14ac:dyDescent="0.2">
      <c r="D3" s="343" t="s">
        <v>393</v>
      </c>
      <c r="E3" s="343"/>
      <c r="F3" s="343"/>
      <c r="G3" s="343"/>
      <c r="H3" s="343"/>
    </row>
    <row r="5" spans="4:12" ht="13.5" thickBot="1" x14ac:dyDescent="0.25"/>
    <row r="6" spans="4:12" ht="13.5" thickTop="1" x14ac:dyDescent="0.2">
      <c r="D6" s="340" t="s">
        <v>388</v>
      </c>
      <c r="E6" s="341"/>
      <c r="F6" s="341"/>
      <c r="G6" s="341"/>
      <c r="H6" s="342"/>
    </row>
    <row r="7" spans="4:12" x14ac:dyDescent="0.2">
      <c r="D7" s="240" t="s">
        <v>386</v>
      </c>
      <c r="E7" s="241" t="s">
        <v>387</v>
      </c>
      <c r="F7" s="241" t="s">
        <v>391</v>
      </c>
      <c r="G7" s="241" t="s">
        <v>390</v>
      </c>
      <c r="H7" s="242" t="s">
        <v>392</v>
      </c>
    </row>
    <row r="8" spans="4:12" x14ac:dyDescent="0.2">
      <c r="D8" s="243" t="s">
        <v>93</v>
      </c>
      <c r="E8" s="244" t="s">
        <v>397</v>
      </c>
      <c r="F8" s="244">
        <v>5</v>
      </c>
      <c r="G8" s="244">
        <v>35</v>
      </c>
      <c r="H8" s="245"/>
    </row>
    <row r="9" spans="4:12" x14ac:dyDescent="0.2">
      <c r="D9" s="243"/>
      <c r="E9" s="244"/>
      <c r="F9" s="244"/>
      <c r="G9" s="244"/>
      <c r="H9" s="245"/>
    </row>
    <row r="10" spans="4:12" x14ac:dyDescent="0.2">
      <c r="D10" s="243"/>
      <c r="E10" s="244"/>
      <c r="F10" s="244"/>
      <c r="G10" s="244"/>
      <c r="H10" s="245"/>
    </row>
    <row r="11" spans="4:12" x14ac:dyDescent="0.2">
      <c r="D11" s="243"/>
      <c r="E11" s="244"/>
      <c r="F11" s="244"/>
      <c r="G11" s="244"/>
      <c r="H11" s="245"/>
    </row>
    <row r="12" spans="4:12" ht="13.5" thickBot="1" x14ac:dyDescent="0.25">
      <c r="D12" s="243"/>
      <c r="E12" s="244"/>
      <c r="F12" s="244"/>
      <c r="G12" s="244"/>
      <c r="H12" s="245"/>
    </row>
    <row r="13" spans="4:12" ht="13.5" thickTop="1" x14ac:dyDescent="0.2">
      <c r="D13" s="243"/>
      <c r="E13" s="244"/>
      <c r="F13" s="244"/>
      <c r="G13" s="244"/>
      <c r="H13" s="245"/>
      <c r="J13" s="337" t="s">
        <v>389</v>
      </c>
      <c r="K13" s="338"/>
      <c r="L13" s="339"/>
    </row>
    <row r="14" spans="4:12" x14ac:dyDescent="0.2">
      <c r="D14" s="243"/>
      <c r="E14" s="244"/>
      <c r="F14" s="244"/>
      <c r="G14" s="244"/>
      <c r="H14" s="245"/>
      <c r="J14" s="237" t="s">
        <v>38</v>
      </c>
      <c r="K14" s="235">
        <f>MIN(G8:G124)</f>
        <v>35</v>
      </c>
      <c r="L14" s="238" t="s">
        <v>35</v>
      </c>
    </row>
    <row r="15" spans="4:12" ht="13.5" thickBot="1" x14ac:dyDescent="0.25">
      <c r="D15" s="243"/>
      <c r="E15" s="244"/>
      <c r="F15" s="244"/>
      <c r="G15" s="244"/>
      <c r="H15" s="245"/>
      <c r="J15" s="89" t="s">
        <v>39</v>
      </c>
      <c r="K15" s="236">
        <f>MAX(F8:F124)</f>
        <v>5</v>
      </c>
      <c r="L15" s="239" t="s">
        <v>35</v>
      </c>
    </row>
    <row r="16" spans="4:12" ht="13.5" thickTop="1" x14ac:dyDescent="0.2">
      <c r="D16" s="243"/>
      <c r="E16" s="244"/>
      <c r="F16" s="244"/>
      <c r="G16" s="244"/>
      <c r="H16" s="245"/>
    </row>
    <row r="17" spans="4:8" x14ac:dyDescent="0.2">
      <c r="D17" s="243"/>
      <c r="E17" s="244"/>
      <c r="F17" s="244"/>
      <c r="G17" s="244"/>
      <c r="H17" s="245"/>
    </row>
    <row r="18" spans="4:8" x14ac:dyDescent="0.2">
      <c r="D18" s="243"/>
      <c r="E18" s="244"/>
      <c r="F18" s="244"/>
      <c r="G18" s="244"/>
      <c r="H18" s="245"/>
    </row>
    <row r="19" spans="4:8" x14ac:dyDescent="0.2">
      <c r="D19" s="243"/>
      <c r="E19" s="244"/>
      <c r="F19" s="244"/>
      <c r="G19" s="244"/>
      <c r="H19" s="245"/>
    </row>
    <row r="20" spans="4:8" x14ac:dyDescent="0.2">
      <c r="D20" s="243"/>
      <c r="E20" s="244"/>
      <c r="F20" s="244"/>
      <c r="G20" s="244"/>
      <c r="H20" s="245"/>
    </row>
    <row r="21" spans="4:8" x14ac:dyDescent="0.2">
      <c r="D21" s="243"/>
      <c r="E21" s="244"/>
      <c r="F21" s="244"/>
      <c r="G21" s="244"/>
      <c r="H21" s="245"/>
    </row>
    <row r="22" spans="4:8" x14ac:dyDescent="0.2">
      <c r="D22" s="243"/>
      <c r="E22" s="244"/>
      <c r="F22" s="244"/>
      <c r="G22" s="244"/>
      <c r="H22" s="245"/>
    </row>
    <row r="23" spans="4:8" x14ac:dyDescent="0.2">
      <c r="D23" s="243"/>
      <c r="E23" s="244"/>
      <c r="F23" s="244"/>
      <c r="G23" s="244"/>
      <c r="H23" s="245"/>
    </row>
    <row r="24" spans="4:8" x14ac:dyDescent="0.2">
      <c r="D24" s="243"/>
      <c r="E24" s="244"/>
      <c r="F24" s="244"/>
      <c r="G24" s="244"/>
      <c r="H24" s="245"/>
    </row>
    <row r="25" spans="4:8" x14ac:dyDescent="0.2">
      <c r="D25" s="243"/>
      <c r="E25" s="244"/>
      <c r="F25" s="244"/>
      <c r="G25" s="244"/>
      <c r="H25" s="245"/>
    </row>
    <row r="26" spans="4:8" x14ac:dyDescent="0.2">
      <c r="D26" s="243"/>
      <c r="E26" s="244"/>
      <c r="F26" s="244"/>
      <c r="G26" s="244"/>
      <c r="H26" s="245"/>
    </row>
    <row r="27" spans="4:8" x14ac:dyDescent="0.2">
      <c r="D27" s="243"/>
      <c r="E27" s="244"/>
      <c r="F27" s="244"/>
      <c r="G27" s="244"/>
      <c r="H27" s="245"/>
    </row>
    <row r="28" spans="4:8" x14ac:dyDescent="0.2">
      <c r="D28" s="243"/>
      <c r="E28" s="244"/>
      <c r="F28" s="244"/>
      <c r="G28" s="244"/>
      <c r="H28" s="245"/>
    </row>
    <row r="29" spans="4:8" x14ac:dyDescent="0.2">
      <c r="D29" s="243"/>
      <c r="E29" s="244"/>
      <c r="F29" s="244"/>
      <c r="G29" s="244"/>
      <c r="H29" s="245"/>
    </row>
    <row r="30" spans="4:8" x14ac:dyDescent="0.2">
      <c r="D30" s="243"/>
      <c r="E30" s="244"/>
      <c r="F30" s="244"/>
      <c r="G30" s="244"/>
      <c r="H30" s="245"/>
    </row>
    <row r="31" spans="4:8" x14ac:dyDescent="0.2">
      <c r="D31" s="243"/>
      <c r="E31" s="244"/>
      <c r="F31" s="244"/>
      <c r="G31" s="244"/>
      <c r="H31" s="245"/>
    </row>
    <row r="32" spans="4:8" x14ac:dyDescent="0.2">
      <c r="D32" s="243"/>
      <c r="E32" s="244"/>
      <c r="F32" s="244"/>
      <c r="G32" s="244"/>
      <c r="H32" s="245"/>
    </row>
    <row r="33" spans="4:8" x14ac:dyDescent="0.2">
      <c r="D33" s="243"/>
      <c r="E33" s="244"/>
      <c r="F33" s="244"/>
      <c r="G33" s="244"/>
      <c r="H33" s="245"/>
    </row>
    <row r="34" spans="4:8" x14ac:dyDescent="0.2">
      <c r="D34" s="243"/>
      <c r="E34" s="244"/>
      <c r="F34" s="244"/>
      <c r="G34" s="244"/>
      <c r="H34" s="245"/>
    </row>
    <row r="35" spans="4:8" x14ac:dyDescent="0.2">
      <c r="D35" s="243"/>
      <c r="E35" s="244"/>
      <c r="F35" s="244"/>
      <c r="G35" s="244"/>
      <c r="H35" s="245"/>
    </row>
    <row r="36" spans="4:8" x14ac:dyDescent="0.2">
      <c r="D36" s="243"/>
      <c r="E36" s="244"/>
      <c r="F36" s="244"/>
      <c r="G36" s="244"/>
      <c r="H36" s="245"/>
    </row>
    <row r="37" spans="4:8" x14ac:dyDescent="0.2">
      <c r="D37" s="243"/>
      <c r="E37" s="244"/>
      <c r="F37" s="244"/>
      <c r="G37" s="244"/>
      <c r="H37" s="245"/>
    </row>
    <row r="38" spans="4:8" x14ac:dyDescent="0.2">
      <c r="D38" s="243"/>
      <c r="E38" s="244"/>
      <c r="F38" s="244"/>
      <c r="G38" s="244"/>
      <c r="H38" s="245"/>
    </row>
    <row r="39" spans="4:8" x14ac:dyDescent="0.2">
      <c r="D39" s="243"/>
      <c r="E39" s="244"/>
      <c r="F39" s="244"/>
      <c r="G39" s="244"/>
      <c r="H39" s="245"/>
    </row>
    <row r="40" spans="4:8" x14ac:dyDescent="0.2">
      <c r="D40" s="243"/>
      <c r="E40" s="244"/>
      <c r="F40" s="244"/>
      <c r="G40" s="244"/>
      <c r="H40" s="245"/>
    </row>
    <row r="41" spans="4:8" x14ac:dyDescent="0.2">
      <c r="D41" s="243"/>
      <c r="E41" s="244"/>
      <c r="F41" s="244"/>
      <c r="G41" s="244"/>
      <c r="H41" s="245"/>
    </row>
    <row r="42" spans="4:8" x14ac:dyDescent="0.2">
      <c r="D42" s="243"/>
      <c r="E42" s="244"/>
      <c r="F42" s="244"/>
      <c r="G42" s="244"/>
      <c r="H42" s="245"/>
    </row>
    <row r="43" spans="4:8" x14ac:dyDescent="0.2">
      <c r="D43" s="243"/>
      <c r="E43" s="244"/>
      <c r="F43" s="244"/>
      <c r="G43" s="244"/>
      <c r="H43" s="245"/>
    </row>
    <row r="44" spans="4:8" x14ac:dyDescent="0.2">
      <c r="D44" s="243"/>
      <c r="E44" s="244"/>
      <c r="F44" s="244"/>
      <c r="G44" s="244"/>
      <c r="H44" s="245"/>
    </row>
    <row r="45" spans="4:8" x14ac:dyDescent="0.2">
      <c r="D45" s="243"/>
      <c r="E45" s="244"/>
      <c r="F45" s="244"/>
      <c r="G45" s="244"/>
      <c r="H45" s="245"/>
    </row>
    <row r="46" spans="4:8" x14ac:dyDescent="0.2">
      <c r="D46" s="243"/>
      <c r="E46" s="244"/>
      <c r="F46" s="244"/>
      <c r="G46" s="244"/>
      <c r="H46" s="245"/>
    </row>
    <row r="47" spans="4:8" x14ac:dyDescent="0.2">
      <c r="D47" s="243"/>
      <c r="E47" s="244"/>
      <c r="F47" s="244"/>
      <c r="G47" s="244"/>
      <c r="H47" s="245"/>
    </row>
    <row r="48" spans="4:8" x14ac:dyDescent="0.2">
      <c r="D48" s="243"/>
      <c r="E48" s="244"/>
      <c r="F48" s="244"/>
      <c r="G48" s="244"/>
      <c r="H48" s="245"/>
    </row>
    <row r="49" spans="4:8" x14ac:dyDescent="0.2">
      <c r="D49" s="243"/>
      <c r="E49" s="244"/>
      <c r="F49" s="244"/>
      <c r="G49" s="244"/>
      <c r="H49" s="245"/>
    </row>
    <row r="50" spans="4:8" x14ac:dyDescent="0.2">
      <c r="D50" s="243"/>
      <c r="E50" s="244"/>
      <c r="F50" s="244"/>
      <c r="G50" s="244"/>
      <c r="H50" s="245"/>
    </row>
    <row r="51" spans="4:8" x14ac:dyDescent="0.2">
      <c r="D51" s="243"/>
      <c r="E51" s="244"/>
      <c r="F51" s="244"/>
      <c r="G51" s="244"/>
      <c r="H51" s="245"/>
    </row>
    <row r="52" spans="4:8" x14ac:dyDescent="0.2">
      <c r="D52" s="243"/>
      <c r="E52" s="244"/>
      <c r="F52" s="244"/>
      <c r="G52" s="244"/>
      <c r="H52" s="245"/>
    </row>
    <row r="53" spans="4:8" x14ac:dyDescent="0.2">
      <c r="D53" s="243"/>
      <c r="E53" s="244"/>
      <c r="F53" s="244"/>
      <c r="G53" s="244"/>
      <c r="H53" s="245"/>
    </row>
    <row r="54" spans="4:8" x14ac:dyDescent="0.2">
      <c r="D54" s="243"/>
      <c r="E54" s="244"/>
      <c r="F54" s="244"/>
      <c r="G54" s="244"/>
      <c r="H54" s="245"/>
    </row>
    <row r="55" spans="4:8" x14ac:dyDescent="0.2">
      <c r="D55" s="243"/>
      <c r="E55" s="244"/>
      <c r="F55" s="244"/>
      <c r="G55" s="244"/>
      <c r="H55" s="245"/>
    </row>
    <row r="56" spans="4:8" x14ac:dyDescent="0.2">
      <c r="D56" s="243"/>
      <c r="E56" s="244"/>
      <c r="F56" s="244"/>
      <c r="G56" s="244"/>
      <c r="H56" s="245"/>
    </row>
    <row r="57" spans="4:8" x14ac:dyDescent="0.2">
      <c r="D57" s="243"/>
      <c r="E57" s="244"/>
      <c r="F57" s="244"/>
      <c r="G57" s="244"/>
      <c r="H57" s="245"/>
    </row>
    <row r="58" spans="4:8" x14ac:dyDescent="0.2">
      <c r="D58" s="243"/>
      <c r="E58" s="244"/>
      <c r="F58" s="244"/>
      <c r="G58" s="244"/>
      <c r="H58" s="245"/>
    </row>
    <row r="59" spans="4:8" x14ac:dyDescent="0.2">
      <c r="D59" s="243"/>
      <c r="E59" s="244"/>
      <c r="F59" s="244"/>
      <c r="G59" s="244"/>
      <c r="H59" s="245"/>
    </row>
    <row r="60" spans="4:8" x14ac:dyDescent="0.2">
      <c r="D60" s="243"/>
      <c r="E60" s="244"/>
      <c r="F60" s="244"/>
      <c r="G60" s="244"/>
      <c r="H60" s="245"/>
    </row>
    <row r="61" spans="4:8" x14ac:dyDescent="0.2">
      <c r="D61" s="243"/>
      <c r="E61" s="244"/>
      <c r="F61" s="244"/>
      <c r="G61" s="244"/>
      <c r="H61" s="245"/>
    </row>
    <row r="62" spans="4:8" x14ac:dyDescent="0.2">
      <c r="D62" s="243"/>
      <c r="E62" s="244"/>
      <c r="F62" s="244"/>
      <c r="G62" s="244"/>
      <c r="H62" s="245"/>
    </row>
    <row r="63" spans="4:8" x14ac:dyDescent="0.2">
      <c r="D63" s="243"/>
      <c r="E63" s="244"/>
      <c r="F63" s="244"/>
      <c r="G63" s="244"/>
      <c r="H63" s="245"/>
    </row>
    <row r="64" spans="4:8" x14ac:dyDescent="0.2">
      <c r="D64" s="243"/>
      <c r="E64" s="244"/>
      <c r="F64" s="244"/>
      <c r="G64" s="244"/>
      <c r="H64" s="245"/>
    </row>
    <row r="65" spans="4:8" x14ac:dyDescent="0.2">
      <c r="D65" s="243"/>
      <c r="E65" s="244"/>
      <c r="F65" s="244"/>
      <c r="G65" s="244"/>
      <c r="H65" s="245"/>
    </row>
    <row r="66" spans="4:8" x14ac:dyDescent="0.2">
      <c r="D66" s="243"/>
      <c r="E66" s="244"/>
      <c r="F66" s="244"/>
      <c r="G66" s="244"/>
      <c r="H66" s="245"/>
    </row>
    <row r="67" spans="4:8" x14ac:dyDescent="0.2">
      <c r="D67" s="243"/>
      <c r="E67" s="244"/>
      <c r="F67" s="244"/>
      <c r="G67" s="244"/>
      <c r="H67" s="245"/>
    </row>
    <row r="68" spans="4:8" x14ac:dyDescent="0.2">
      <c r="D68" s="243"/>
      <c r="E68" s="244"/>
      <c r="F68" s="244"/>
      <c r="G68" s="244"/>
      <c r="H68" s="245"/>
    </row>
    <row r="69" spans="4:8" x14ac:dyDescent="0.2">
      <c r="D69" s="243"/>
      <c r="E69" s="244"/>
      <c r="F69" s="244"/>
      <c r="G69" s="244"/>
      <c r="H69" s="245"/>
    </row>
    <row r="70" spans="4:8" x14ac:dyDescent="0.2">
      <c r="D70" s="243"/>
      <c r="E70" s="244"/>
      <c r="F70" s="244"/>
      <c r="G70" s="244"/>
      <c r="H70" s="245"/>
    </row>
    <row r="71" spans="4:8" x14ac:dyDescent="0.2">
      <c r="D71" s="243"/>
      <c r="E71" s="244"/>
      <c r="F71" s="244"/>
      <c r="G71" s="244"/>
      <c r="H71" s="245"/>
    </row>
    <row r="72" spans="4:8" x14ac:dyDescent="0.2">
      <c r="D72" s="243"/>
      <c r="E72" s="244"/>
      <c r="F72" s="244"/>
      <c r="G72" s="244"/>
      <c r="H72" s="245"/>
    </row>
    <row r="73" spans="4:8" x14ac:dyDescent="0.2">
      <c r="D73" s="243"/>
      <c r="E73" s="244"/>
      <c r="F73" s="244"/>
      <c r="G73" s="244"/>
      <c r="H73" s="245"/>
    </row>
    <row r="74" spans="4:8" x14ac:dyDescent="0.2">
      <c r="D74" s="243"/>
      <c r="E74" s="244"/>
      <c r="F74" s="244"/>
      <c r="G74" s="244"/>
      <c r="H74" s="245"/>
    </row>
    <row r="75" spans="4:8" x14ac:dyDescent="0.2">
      <c r="D75" s="243"/>
      <c r="E75" s="244"/>
      <c r="F75" s="244"/>
      <c r="G75" s="244"/>
      <c r="H75" s="245"/>
    </row>
    <row r="76" spans="4:8" x14ac:dyDescent="0.2">
      <c r="D76" s="243"/>
      <c r="E76" s="244"/>
      <c r="F76" s="244"/>
      <c r="G76" s="244"/>
      <c r="H76" s="245"/>
    </row>
    <row r="77" spans="4:8" x14ac:dyDescent="0.2">
      <c r="D77" s="243"/>
      <c r="E77" s="244"/>
      <c r="F77" s="244"/>
      <c r="G77" s="244"/>
      <c r="H77" s="245"/>
    </row>
    <row r="78" spans="4:8" x14ac:dyDescent="0.2">
      <c r="D78" s="243"/>
      <c r="E78" s="244"/>
      <c r="F78" s="244"/>
      <c r="G78" s="244"/>
      <c r="H78" s="245"/>
    </row>
    <row r="79" spans="4:8" x14ac:dyDescent="0.2">
      <c r="D79" s="243"/>
      <c r="E79" s="244"/>
      <c r="F79" s="244"/>
      <c r="G79" s="244"/>
      <c r="H79" s="245"/>
    </row>
    <row r="80" spans="4:8" x14ac:dyDescent="0.2">
      <c r="D80" s="243"/>
      <c r="E80" s="244"/>
      <c r="F80" s="244"/>
      <c r="G80" s="244"/>
      <c r="H80" s="245"/>
    </row>
    <row r="81" spans="4:8" x14ac:dyDescent="0.2">
      <c r="D81" s="243"/>
      <c r="E81" s="244"/>
      <c r="F81" s="244"/>
      <c r="G81" s="244"/>
      <c r="H81" s="245"/>
    </row>
    <row r="82" spans="4:8" x14ac:dyDescent="0.2">
      <c r="D82" s="243"/>
      <c r="E82" s="244"/>
      <c r="F82" s="244"/>
      <c r="G82" s="244"/>
      <c r="H82" s="245"/>
    </row>
    <row r="83" spans="4:8" x14ac:dyDescent="0.2">
      <c r="D83" s="243"/>
      <c r="E83" s="244"/>
      <c r="F83" s="244"/>
      <c r="G83" s="244"/>
      <c r="H83" s="245"/>
    </row>
    <row r="84" spans="4:8" x14ac:dyDescent="0.2">
      <c r="D84" s="243"/>
      <c r="E84" s="244"/>
      <c r="F84" s="244"/>
      <c r="G84" s="244"/>
      <c r="H84" s="245"/>
    </row>
    <row r="85" spans="4:8" x14ac:dyDescent="0.2">
      <c r="D85" s="243"/>
      <c r="E85" s="244"/>
      <c r="F85" s="244"/>
      <c r="G85" s="244"/>
      <c r="H85" s="245"/>
    </row>
    <row r="86" spans="4:8" x14ac:dyDescent="0.2">
      <c r="D86" s="243"/>
      <c r="E86" s="244"/>
      <c r="F86" s="244"/>
      <c r="G86" s="244"/>
      <c r="H86" s="245"/>
    </row>
    <row r="87" spans="4:8" x14ac:dyDescent="0.2">
      <c r="D87" s="243"/>
      <c r="E87" s="244"/>
      <c r="F87" s="244"/>
      <c r="G87" s="244"/>
      <c r="H87" s="245"/>
    </row>
    <row r="88" spans="4:8" x14ac:dyDescent="0.2">
      <c r="D88" s="243"/>
      <c r="E88" s="244"/>
      <c r="F88" s="244"/>
      <c r="G88" s="244"/>
      <c r="H88" s="245"/>
    </row>
    <row r="89" spans="4:8" x14ac:dyDescent="0.2">
      <c r="D89" s="243"/>
      <c r="E89" s="244"/>
      <c r="F89" s="244"/>
      <c r="G89" s="244"/>
      <c r="H89" s="245"/>
    </row>
    <row r="90" spans="4:8" x14ac:dyDescent="0.2">
      <c r="D90" s="243"/>
      <c r="E90" s="244"/>
      <c r="F90" s="244"/>
      <c r="G90" s="244"/>
      <c r="H90" s="245"/>
    </row>
    <row r="91" spans="4:8" x14ac:dyDescent="0.2">
      <c r="D91" s="243"/>
      <c r="E91" s="244"/>
      <c r="F91" s="244"/>
      <c r="G91" s="244"/>
      <c r="H91" s="245"/>
    </row>
    <row r="92" spans="4:8" x14ac:dyDescent="0.2">
      <c r="D92" s="243"/>
      <c r="E92" s="244"/>
      <c r="F92" s="244"/>
      <c r="G92" s="244"/>
      <c r="H92" s="245"/>
    </row>
    <row r="93" spans="4:8" x14ac:dyDescent="0.2">
      <c r="D93" s="243"/>
      <c r="E93" s="244"/>
      <c r="F93" s="244"/>
      <c r="G93" s="244"/>
      <c r="H93" s="245"/>
    </row>
    <row r="94" spans="4:8" x14ac:dyDescent="0.2">
      <c r="D94" s="243"/>
      <c r="E94" s="244"/>
      <c r="F94" s="244"/>
      <c r="G94" s="244"/>
      <c r="H94" s="245"/>
    </row>
    <row r="95" spans="4:8" x14ac:dyDescent="0.2">
      <c r="D95" s="243"/>
      <c r="E95" s="244"/>
      <c r="F95" s="244"/>
      <c r="G95" s="244"/>
      <c r="H95" s="245"/>
    </row>
    <row r="96" spans="4:8" x14ac:dyDescent="0.2">
      <c r="D96" s="243"/>
      <c r="E96" s="244"/>
      <c r="F96" s="244"/>
      <c r="G96" s="244"/>
      <c r="H96" s="245"/>
    </row>
    <row r="97" spans="4:8" x14ac:dyDescent="0.2">
      <c r="D97" s="243"/>
      <c r="E97" s="244"/>
      <c r="F97" s="244"/>
      <c r="G97" s="244"/>
      <c r="H97" s="245"/>
    </row>
    <row r="98" spans="4:8" x14ac:dyDescent="0.2">
      <c r="D98" s="243"/>
      <c r="E98" s="244"/>
      <c r="F98" s="244"/>
      <c r="G98" s="244"/>
      <c r="H98" s="245"/>
    </row>
    <row r="99" spans="4:8" x14ac:dyDescent="0.2">
      <c r="D99" s="243"/>
      <c r="E99" s="244"/>
      <c r="F99" s="244"/>
      <c r="G99" s="244"/>
      <c r="H99" s="245"/>
    </row>
    <row r="100" spans="4:8" x14ac:dyDescent="0.2">
      <c r="D100" s="243"/>
      <c r="E100" s="244"/>
      <c r="F100" s="244"/>
      <c r="G100" s="244"/>
      <c r="H100" s="245"/>
    </row>
    <row r="101" spans="4:8" x14ac:dyDescent="0.2">
      <c r="D101" s="243"/>
      <c r="E101" s="244"/>
      <c r="F101" s="244"/>
      <c r="G101" s="244"/>
      <c r="H101" s="245"/>
    </row>
    <row r="102" spans="4:8" x14ac:dyDescent="0.2">
      <c r="D102" s="243"/>
      <c r="E102" s="244"/>
      <c r="F102" s="244"/>
      <c r="G102" s="244"/>
      <c r="H102" s="245"/>
    </row>
    <row r="103" spans="4:8" x14ac:dyDescent="0.2">
      <c r="D103" s="243"/>
      <c r="E103" s="244"/>
      <c r="F103" s="244"/>
      <c r="G103" s="244"/>
      <c r="H103" s="245"/>
    </row>
    <row r="104" spans="4:8" x14ac:dyDescent="0.2">
      <c r="D104" s="243"/>
      <c r="E104" s="244"/>
      <c r="F104" s="244"/>
      <c r="G104" s="244"/>
      <c r="H104" s="245"/>
    </row>
    <row r="105" spans="4:8" x14ac:dyDescent="0.2">
      <c r="D105" s="243"/>
      <c r="E105" s="244"/>
      <c r="F105" s="244"/>
      <c r="G105" s="244"/>
      <c r="H105" s="245"/>
    </row>
    <row r="106" spans="4:8" x14ac:dyDescent="0.2">
      <c r="D106" s="243"/>
      <c r="E106" s="244"/>
      <c r="F106" s="244"/>
      <c r="G106" s="244"/>
      <c r="H106" s="245"/>
    </row>
    <row r="107" spans="4:8" x14ac:dyDescent="0.2">
      <c r="D107" s="243"/>
      <c r="E107" s="244"/>
      <c r="F107" s="244"/>
      <c r="G107" s="244"/>
      <c r="H107" s="245"/>
    </row>
    <row r="108" spans="4:8" x14ac:dyDescent="0.2">
      <c r="D108" s="243"/>
      <c r="E108" s="244"/>
      <c r="F108" s="244"/>
      <c r="G108" s="244"/>
      <c r="H108" s="245"/>
    </row>
    <row r="109" spans="4:8" x14ac:dyDescent="0.2">
      <c r="D109" s="243"/>
      <c r="E109" s="244"/>
      <c r="F109" s="244"/>
      <c r="G109" s="244"/>
      <c r="H109" s="245"/>
    </row>
    <row r="110" spans="4:8" x14ac:dyDescent="0.2">
      <c r="D110" s="243"/>
      <c r="E110" s="244"/>
      <c r="F110" s="244"/>
      <c r="G110" s="244"/>
      <c r="H110" s="245"/>
    </row>
    <row r="111" spans="4:8" x14ac:dyDescent="0.2">
      <c r="D111" s="243"/>
      <c r="E111" s="244"/>
      <c r="F111" s="244"/>
      <c r="G111" s="244"/>
      <c r="H111" s="245"/>
    </row>
    <row r="112" spans="4:8" x14ac:dyDescent="0.2">
      <c r="D112" s="243"/>
      <c r="E112" s="244"/>
      <c r="F112" s="244"/>
      <c r="G112" s="244"/>
      <c r="H112" s="245"/>
    </row>
    <row r="113" spans="4:8" x14ac:dyDescent="0.2">
      <c r="D113" s="243"/>
      <c r="E113" s="244"/>
      <c r="F113" s="244"/>
      <c r="G113" s="244"/>
      <c r="H113" s="245"/>
    </row>
    <row r="114" spans="4:8" x14ac:dyDescent="0.2">
      <c r="D114" s="243"/>
      <c r="E114" s="244"/>
      <c r="F114" s="244"/>
      <c r="G114" s="244"/>
      <c r="H114" s="245"/>
    </row>
    <row r="115" spans="4:8" x14ac:dyDescent="0.2">
      <c r="D115" s="243"/>
      <c r="E115" s="244"/>
      <c r="F115" s="244"/>
      <c r="G115" s="244"/>
      <c r="H115" s="245"/>
    </row>
    <row r="116" spans="4:8" x14ac:dyDescent="0.2">
      <c r="D116" s="243"/>
      <c r="E116" s="244"/>
      <c r="F116" s="244"/>
      <c r="G116" s="244"/>
      <c r="H116" s="245"/>
    </row>
    <row r="117" spans="4:8" x14ac:dyDescent="0.2">
      <c r="D117" s="243"/>
      <c r="E117" s="244"/>
      <c r="F117" s="244"/>
      <c r="G117" s="244"/>
      <c r="H117" s="245"/>
    </row>
    <row r="118" spans="4:8" x14ac:dyDescent="0.2">
      <c r="D118" s="243"/>
      <c r="E118" s="244"/>
      <c r="F118" s="244"/>
      <c r="G118" s="244"/>
      <c r="H118" s="245"/>
    </row>
    <row r="119" spans="4:8" x14ac:dyDescent="0.2">
      <c r="D119" s="243"/>
      <c r="E119" s="244"/>
      <c r="F119" s="244"/>
      <c r="G119" s="244"/>
      <c r="H119" s="245"/>
    </row>
    <row r="120" spans="4:8" x14ac:dyDescent="0.2">
      <c r="D120" s="243"/>
      <c r="E120" s="244"/>
      <c r="F120" s="244"/>
      <c r="G120" s="244"/>
      <c r="H120" s="245"/>
    </row>
    <row r="121" spans="4:8" x14ac:dyDescent="0.2">
      <c r="D121" s="243"/>
      <c r="E121" s="244"/>
      <c r="F121" s="244"/>
      <c r="G121" s="244"/>
      <c r="H121" s="245"/>
    </row>
    <row r="122" spans="4:8" x14ac:dyDescent="0.2">
      <c r="D122" s="243"/>
      <c r="E122" s="244"/>
      <c r="F122" s="244"/>
      <c r="G122" s="244"/>
      <c r="H122" s="245"/>
    </row>
    <row r="123" spans="4:8" x14ac:dyDescent="0.2">
      <c r="D123" s="243"/>
      <c r="E123" s="244"/>
      <c r="F123" s="244"/>
      <c r="G123" s="244"/>
      <c r="H123" s="245"/>
    </row>
    <row r="124" spans="4:8" ht="13.5" thickBot="1" x14ac:dyDescent="0.25">
      <c r="D124" s="246"/>
      <c r="E124" s="247"/>
      <c r="F124" s="247"/>
      <c r="G124" s="247"/>
      <c r="H124" s="248"/>
    </row>
    <row r="125" spans="4:8" ht="13.5" thickTop="1" x14ac:dyDescent="0.2"/>
  </sheetData>
  <mergeCells count="3">
    <mergeCell ref="D6:H6"/>
    <mergeCell ref="J13:L13"/>
    <mergeCell ref="D3:H3"/>
  </mergeCells>
  <pageMargins left="0.7" right="0.7" top="0.75" bottom="0.75" header="0.3" footer="0.3"/>
  <drawing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1">
    <tabColor theme="3" tint="0.39997558519241921"/>
    <pageSetUpPr fitToPage="1"/>
  </sheetPr>
  <dimension ref="A1:AR129"/>
  <sheetViews>
    <sheetView topLeftCell="A8" zoomScale="70" zoomScaleNormal="70" workbookViewId="0">
      <selection activeCell="G19" sqref="G19"/>
    </sheetView>
  </sheetViews>
  <sheetFormatPr defaultColWidth="9.33203125" defaultRowHeight="12.75" x14ac:dyDescent="0.2"/>
  <cols>
    <col min="1" max="1" width="27.1640625" style="3" bestFit="1" customWidth="1"/>
    <col min="2" max="2" width="50.83203125" style="3" customWidth="1"/>
    <col min="3" max="3" width="28.33203125" style="3" bestFit="1" customWidth="1"/>
    <col min="4" max="4" width="11" style="3" bestFit="1" customWidth="1"/>
    <col min="5" max="5" width="6.5" style="2" bestFit="1" customWidth="1"/>
    <col min="6" max="6" width="5.83203125" style="3" customWidth="1"/>
    <col min="7" max="7" width="48.6640625" style="3" bestFit="1" customWidth="1"/>
    <col min="8" max="8" width="16.5" style="3" bestFit="1" customWidth="1"/>
    <col min="9" max="9" width="15.6640625" style="3" bestFit="1" customWidth="1"/>
    <col min="10" max="10" width="21.33203125" style="2" bestFit="1" customWidth="1"/>
    <col min="11" max="11" width="19.1640625" style="3" bestFit="1" customWidth="1"/>
    <col min="12" max="22" width="9.33203125" style="3"/>
    <col min="23" max="23" width="21.1640625" style="3" bestFit="1" customWidth="1"/>
    <col min="24" max="24" width="12.33203125" style="3" bestFit="1" customWidth="1"/>
    <col min="25" max="25" width="12" style="3" bestFit="1" customWidth="1"/>
    <col min="26" max="26" width="26.6640625" style="3" bestFit="1" customWidth="1"/>
    <col min="27" max="27" width="9.83203125" style="3" bestFit="1" customWidth="1"/>
    <col min="28" max="34" width="9.33203125" style="3"/>
    <col min="35" max="35" width="19.33203125" style="3" bestFit="1" customWidth="1"/>
    <col min="36" max="36" width="5.6640625" style="3" bestFit="1" customWidth="1"/>
    <col min="37" max="37" width="4.83203125" style="3" bestFit="1" customWidth="1"/>
    <col min="38" max="16384" width="9.33203125" style="3"/>
  </cols>
  <sheetData>
    <row r="1" spans="1:42" ht="40.5" customHeight="1" x14ac:dyDescent="0.3">
      <c r="A1" s="5"/>
      <c r="B1" s="6"/>
      <c r="C1" s="7"/>
      <c r="D1" s="7"/>
      <c r="E1" s="8"/>
      <c r="F1" s="7"/>
      <c r="G1" s="7"/>
      <c r="H1" s="7"/>
      <c r="I1" s="7" t="s">
        <v>12</v>
      </c>
      <c r="J1" s="9"/>
      <c r="K1" s="5"/>
      <c r="L1" s="5"/>
      <c r="M1" s="5"/>
      <c r="N1" s="5"/>
      <c r="O1" s="5"/>
      <c r="P1" s="5"/>
      <c r="Q1" s="5"/>
      <c r="R1" s="5"/>
      <c r="S1" s="5"/>
      <c r="T1" s="5"/>
      <c r="U1" s="5"/>
      <c r="V1" s="5"/>
      <c r="W1" s="5"/>
      <c r="X1" s="5"/>
      <c r="Y1" s="5"/>
      <c r="AN1" s="217" t="s">
        <v>347</v>
      </c>
      <c r="AO1" s="217" t="s">
        <v>532</v>
      </c>
      <c r="AP1" s="3" t="s">
        <v>531</v>
      </c>
    </row>
    <row r="2" spans="1:42" ht="13.5" customHeight="1" x14ac:dyDescent="0.25">
      <c r="A2" s="348" t="s">
        <v>165</v>
      </c>
      <c r="B2" s="349"/>
      <c r="C2" s="349"/>
      <c r="D2" s="349"/>
      <c r="E2" s="349"/>
      <c r="F2" s="349"/>
      <c r="G2" s="349"/>
      <c r="H2" s="349"/>
      <c r="I2" s="349"/>
      <c r="J2" s="349"/>
      <c r="K2" s="349"/>
      <c r="L2" s="5"/>
      <c r="M2" s="5"/>
      <c r="N2" s="5"/>
      <c r="O2" s="5"/>
      <c r="P2" s="5"/>
      <c r="Q2" s="5"/>
      <c r="R2" s="5"/>
      <c r="S2" s="5"/>
      <c r="T2" s="5"/>
      <c r="U2" s="5"/>
      <c r="V2" s="5"/>
      <c r="W2" s="5"/>
      <c r="X2" s="5"/>
      <c r="Y2" s="5"/>
      <c r="AN2" s="217">
        <v>0</v>
      </c>
      <c r="AO2" s="217">
        <v>84.804766926272634</v>
      </c>
      <c r="AP2" s="217">
        <v>84.804766926272634</v>
      </c>
    </row>
    <row r="3" spans="1:42" ht="13.5" customHeight="1" x14ac:dyDescent="0.2">
      <c r="A3" s="5"/>
      <c r="B3" s="364" t="s">
        <v>394</v>
      </c>
      <c r="C3" s="364"/>
      <c r="D3" s="364"/>
      <c r="E3" s="364"/>
      <c r="F3" s="364"/>
      <c r="G3" s="364"/>
      <c r="H3" s="364"/>
      <c r="I3" s="364"/>
      <c r="J3" s="364"/>
      <c r="K3" s="5"/>
      <c r="L3" s="5"/>
      <c r="M3" s="5"/>
      <c r="N3" s="5"/>
      <c r="O3" s="5"/>
      <c r="P3" s="5"/>
      <c r="Q3" s="5"/>
      <c r="R3" s="5"/>
      <c r="S3" s="5"/>
      <c r="T3" s="5"/>
      <c r="U3" s="5"/>
      <c r="V3" s="5"/>
      <c r="W3" s="5"/>
      <c r="X3" s="5"/>
      <c r="Y3" s="5"/>
      <c r="AN3" s="217">
        <v>0.43526680254398953</v>
      </c>
      <c r="AO3" s="217">
        <v>83.964648791211459</v>
      </c>
      <c r="AP3" s="217">
        <v>83.964648791211459</v>
      </c>
    </row>
    <row r="4" spans="1:42" ht="13.5" customHeight="1" thickBot="1" x14ac:dyDescent="0.25">
      <c r="A4" s="5"/>
      <c r="B4" s="53" t="s">
        <v>177</v>
      </c>
      <c r="C4" s="52" t="s">
        <v>178</v>
      </c>
      <c r="D4" s="5"/>
      <c r="E4" s="9"/>
      <c r="F4" s="5"/>
      <c r="G4" s="5"/>
      <c r="H4" s="5"/>
      <c r="I4" s="5"/>
      <c r="J4" s="9"/>
      <c r="K4" s="5"/>
      <c r="L4" s="5"/>
      <c r="M4" s="5"/>
      <c r="N4" s="5"/>
      <c r="O4" s="5"/>
      <c r="P4" s="5"/>
      <c r="Q4" s="5"/>
      <c r="R4" s="5"/>
      <c r="S4" s="5"/>
      <c r="T4" s="5"/>
      <c r="U4" s="5"/>
      <c r="V4" s="5"/>
      <c r="W4" s="5"/>
      <c r="X4" s="5"/>
      <c r="Y4" s="5"/>
      <c r="AN4" s="330">
        <v>0.87465467393120089</v>
      </c>
      <c r="AO4" s="217">
        <v>83.124530656150228</v>
      </c>
      <c r="AP4" s="217">
        <v>83.124530656150228</v>
      </c>
    </row>
    <row r="5" spans="1:42" ht="13.5" customHeight="1" thickTop="1" x14ac:dyDescent="0.2">
      <c r="A5" s="5"/>
      <c r="B5" s="353" t="s">
        <v>68</v>
      </c>
      <c r="C5" s="354"/>
      <c r="D5" s="354"/>
      <c r="E5" s="354"/>
      <c r="F5" s="354"/>
      <c r="G5" s="354"/>
      <c r="H5" s="354"/>
      <c r="I5" s="354"/>
      <c r="J5" s="355"/>
      <c r="K5" s="5"/>
      <c r="L5" s="344" t="s">
        <v>217</v>
      </c>
      <c r="M5" s="345"/>
      <c r="N5" s="345"/>
      <c r="O5" s="345"/>
      <c r="P5" s="345"/>
      <c r="Q5" s="345"/>
      <c r="R5" s="345"/>
      <c r="S5" s="345"/>
      <c r="T5" s="345"/>
      <c r="U5" s="345"/>
      <c r="V5" s="345"/>
      <c r="W5" s="345"/>
      <c r="X5" s="345"/>
      <c r="Y5" s="345"/>
      <c r="AN5" s="330">
        <v>1.3182125467479076</v>
      </c>
      <c r="AO5" s="217">
        <v>82.284412521089052</v>
      </c>
      <c r="AP5" s="217">
        <v>82.284412521089052</v>
      </c>
    </row>
    <row r="6" spans="1:42" ht="13.5" customHeight="1" x14ac:dyDescent="0.2">
      <c r="A6" s="5"/>
      <c r="B6" s="361" t="s">
        <v>172</v>
      </c>
      <c r="C6" s="362"/>
      <c r="D6" s="362"/>
      <c r="E6" s="362"/>
      <c r="F6" s="362"/>
      <c r="G6" s="362"/>
      <c r="H6" s="362"/>
      <c r="I6" s="362"/>
      <c r="J6" s="363"/>
      <c r="K6" s="5"/>
      <c r="L6" s="54"/>
      <c r="M6" s="54"/>
      <c r="N6" s="54"/>
      <c r="O6" s="54"/>
      <c r="P6" s="54"/>
      <c r="Q6" s="54"/>
      <c r="R6" s="54"/>
      <c r="S6" s="54"/>
      <c r="T6" s="54"/>
      <c r="U6" s="54"/>
      <c r="V6" s="54"/>
      <c r="W6" s="54"/>
      <c r="X6" s="54"/>
      <c r="Y6" s="54"/>
      <c r="AC6" s="76"/>
      <c r="AN6" s="330">
        <v>1.7659900532614583</v>
      </c>
      <c r="AO6" s="217">
        <v>81.444294386027821</v>
      </c>
      <c r="AP6" s="217">
        <v>81.444294386027821</v>
      </c>
    </row>
    <row r="7" spans="1:42" ht="13.5" customHeight="1" x14ac:dyDescent="0.2">
      <c r="A7" s="5"/>
      <c r="B7" s="74" t="s">
        <v>0</v>
      </c>
      <c r="C7" s="66" t="s">
        <v>174</v>
      </c>
      <c r="D7" s="67">
        <v>100</v>
      </c>
      <c r="E7" s="68" t="s">
        <v>1</v>
      </c>
      <c r="F7" s="66"/>
      <c r="G7" s="66"/>
      <c r="H7" s="66"/>
      <c r="I7" s="66"/>
      <c r="J7" s="70"/>
      <c r="K7" s="5"/>
      <c r="L7" s="54"/>
      <c r="M7" s="54"/>
      <c r="N7" s="54"/>
      <c r="O7" s="54"/>
      <c r="P7" s="54"/>
      <c r="Q7" s="54"/>
      <c r="R7" s="54"/>
      <c r="S7" s="54"/>
      <c r="T7" s="54"/>
      <c r="U7" s="54"/>
      <c r="V7" s="54"/>
      <c r="W7" s="54"/>
      <c r="X7" s="54"/>
      <c r="Y7" s="54"/>
      <c r="AN7" s="330">
        <v>2.2180375371376013</v>
      </c>
      <c r="AO7" s="217">
        <v>80.604176250966646</v>
      </c>
      <c r="AP7" s="217">
        <v>80.604176250966646</v>
      </c>
    </row>
    <row r="8" spans="1:42" ht="13.5" customHeight="1" thickBot="1" x14ac:dyDescent="0.25">
      <c r="A8" s="5"/>
      <c r="B8" s="74" t="s">
        <v>2</v>
      </c>
      <c r="C8" s="66" t="s">
        <v>174</v>
      </c>
      <c r="D8" s="67"/>
      <c r="E8" s="68" t="s">
        <v>1</v>
      </c>
      <c r="F8" s="66"/>
      <c r="G8" s="66" t="s">
        <v>208</v>
      </c>
      <c r="H8" s="67"/>
      <c r="I8" s="201" t="s">
        <v>357</v>
      </c>
      <c r="J8" s="70"/>
      <c r="K8" s="5"/>
      <c r="L8" s="344" t="s">
        <v>360</v>
      </c>
      <c r="M8" s="345"/>
      <c r="N8" s="345"/>
      <c r="O8" s="345"/>
      <c r="P8" s="345"/>
      <c r="Q8" s="345"/>
      <c r="R8" s="345"/>
      <c r="S8" s="345"/>
      <c r="T8" s="345"/>
      <c r="U8" s="345"/>
      <c r="V8" s="345"/>
      <c r="W8" s="345"/>
      <c r="X8" s="345"/>
      <c r="Y8" s="345"/>
      <c r="AN8" s="330">
        <v>2.6744060653835033</v>
      </c>
      <c r="AO8" s="217">
        <v>79.764058115905414</v>
      </c>
      <c r="AP8" s="217">
        <v>79.764058115905414</v>
      </c>
    </row>
    <row r="9" spans="1:42" ht="13.5" customHeight="1" thickTop="1" x14ac:dyDescent="0.2">
      <c r="A9" s="5"/>
      <c r="B9" s="74" t="s">
        <v>348</v>
      </c>
      <c r="C9" s="66" t="s">
        <v>351</v>
      </c>
      <c r="D9" s="67">
        <v>38.4</v>
      </c>
      <c r="E9" s="68" t="s">
        <v>81</v>
      </c>
      <c r="F9" s="66"/>
      <c r="G9" s="66" t="s">
        <v>335</v>
      </c>
      <c r="H9" s="66" t="s">
        <v>336</v>
      </c>
      <c r="I9" s="67">
        <f>IF(LEFT(C23,4)="Alum",D24,VLOOKUP($I$8,$AA$24:$AE$36,2,FALSE))</f>
        <v>0.16</v>
      </c>
      <c r="J9" s="70"/>
      <c r="K9" s="5"/>
      <c r="L9" s="84"/>
      <c r="M9" s="85"/>
      <c r="N9" s="85"/>
      <c r="O9" s="85"/>
      <c r="P9" s="85"/>
      <c r="Q9" s="85"/>
      <c r="R9" s="85"/>
      <c r="S9" s="85"/>
      <c r="T9" s="85"/>
      <c r="U9" s="85"/>
      <c r="V9" s="85"/>
      <c r="W9" s="85"/>
      <c r="X9" s="85"/>
      <c r="Y9" s="86"/>
      <c r="AN9" s="330">
        <v>3.1351474405204192</v>
      </c>
      <c r="AO9" s="217">
        <v>78.923939980844239</v>
      </c>
      <c r="AP9" s="217">
        <v>78.923939980844239</v>
      </c>
    </row>
    <row r="10" spans="1:42" ht="13.5" customHeight="1" x14ac:dyDescent="0.2">
      <c r="A10" s="5"/>
      <c r="B10" s="74" t="s">
        <v>153</v>
      </c>
      <c r="C10" s="66" t="s">
        <v>173</v>
      </c>
      <c r="D10" s="67">
        <v>0.14000000000000001</v>
      </c>
      <c r="E10" s="68" t="s">
        <v>152</v>
      </c>
      <c r="F10" s="66"/>
      <c r="G10" s="66" t="s">
        <v>333</v>
      </c>
      <c r="H10" s="66" t="s">
        <v>334</v>
      </c>
      <c r="I10" s="67">
        <f>IF(LEFT(C23,4)="Alum",D25,VLOOKUP($I$8,$AA$24:$AE$36,3,FALSE))</f>
        <v>0.78</v>
      </c>
      <c r="J10" s="70"/>
      <c r="K10" s="52"/>
      <c r="L10" s="87"/>
      <c r="M10" s="54"/>
      <c r="N10" s="54"/>
      <c r="O10" s="54"/>
      <c r="P10" s="54"/>
      <c r="Q10" s="54"/>
      <c r="R10" s="54"/>
      <c r="S10" s="54"/>
      <c r="T10" s="54"/>
      <c r="U10" s="54"/>
      <c r="V10" s="54"/>
      <c r="W10" s="54"/>
      <c r="X10" s="54"/>
      <c r="Y10" s="88"/>
      <c r="Z10" s="76"/>
      <c r="AA10" s="76"/>
      <c r="AB10" s="76"/>
      <c r="AN10" s="330">
        <v>3.6003142129919334</v>
      </c>
      <c r="AO10" s="217">
        <v>78.083821845783064</v>
      </c>
      <c r="AP10" s="217">
        <v>78.083821845783064</v>
      </c>
    </row>
    <row r="11" spans="1:42" ht="13.5" customHeight="1" x14ac:dyDescent="0.2">
      <c r="A11" s="5"/>
      <c r="B11" s="74" t="s">
        <v>4</v>
      </c>
      <c r="C11" s="66" t="s">
        <v>181</v>
      </c>
      <c r="D11" s="67">
        <v>30</v>
      </c>
      <c r="E11" s="68" t="s">
        <v>27</v>
      </c>
      <c r="F11" s="66"/>
      <c r="G11" s="66" t="s">
        <v>359</v>
      </c>
      <c r="H11" s="66" t="s">
        <v>192</v>
      </c>
      <c r="I11" s="67">
        <f>VLOOKUP($I$8,$AA$24:$AE$36,4,FALSE)</f>
        <v>180</v>
      </c>
      <c r="J11" s="214" t="s">
        <v>212</v>
      </c>
      <c r="K11" s="5"/>
      <c r="L11" s="87"/>
      <c r="M11" s="54"/>
      <c r="N11" s="54"/>
      <c r="O11" s="54"/>
      <c r="P11" s="54"/>
      <c r="Q11" s="54"/>
      <c r="R11" s="54"/>
      <c r="S11" s="54"/>
      <c r="T11" s="54"/>
      <c r="U11" s="54"/>
      <c r="V11" s="54"/>
      <c r="W11" s="54"/>
      <c r="X11" s="54"/>
      <c r="Y11" s="88"/>
      <c r="Z11" s="76"/>
      <c r="AA11" s="76"/>
      <c r="AB11" s="76"/>
      <c r="AC11" s="76"/>
      <c r="AD11" s="76"/>
      <c r="AE11" s="76"/>
      <c r="AF11" s="76"/>
      <c r="AN11" s="330">
        <v>4.0699596938121889</v>
      </c>
      <c r="AO11" s="217">
        <v>77.243703710721832</v>
      </c>
      <c r="AP11" s="217">
        <v>77.243703710721832</v>
      </c>
    </row>
    <row r="12" spans="1:42" ht="13.5" customHeight="1" x14ac:dyDescent="0.2">
      <c r="A12" s="5"/>
      <c r="B12" s="74" t="s">
        <v>5</v>
      </c>
      <c r="C12" s="66" t="s">
        <v>181</v>
      </c>
      <c r="D12" s="67">
        <v>30</v>
      </c>
      <c r="E12" s="68" t="s">
        <v>27</v>
      </c>
      <c r="F12" s="66"/>
      <c r="G12" s="66" t="s">
        <v>337</v>
      </c>
      <c r="H12" s="66" t="s">
        <v>193</v>
      </c>
      <c r="I12" s="67">
        <f>VLOOKUP($I$8,$AA$24:$AE$36,5,FALSE)</f>
        <v>896</v>
      </c>
      <c r="J12" s="214" t="s">
        <v>213</v>
      </c>
      <c r="K12" s="5"/>
      <c r="L12" s="87"/>
      <c r="M12" s="54"/>
      <c r="N12" s="54"/>
      <c r="O12" s="54"/>
      <c r="P12" s="54"/>
      <c r="Q12" s="54"/>
      <c r="R12" s="54"/>
      <c r="S12" s="54"/>
      <c r="T12" s="54"/>
      <c r="U12" s="54"/>
      <c r="V12" s="54"/>
      <c r="W12" s="54"/>
      <c r="X12" s="54"/>
      <c r="Y12" s="88"/>
      <c r="Z12" s="76"/>
      <c r="AA12" s="76"/>
      <c r="AB12" s="76"/>
      <c r="AC12" s="76"/>
      <c r="AD12" s="76"/>
      <c r="AE12" s="76"/>
      <c r="AF12" s="76"/>
      <c r="AN12" s="330">
        <v>4.544137967459605</v>
      </c>
      <c r="AO12" s="217">
        <v>76.403585575660657</v>
      </c>
      <c r="AP12" s="217">
        <v>76.403585575660657</v>
      </c>
    </row>
    <row r="13" spans="1:42" ht="13.5" customHeight="1" x14ac:dyDescent="0.2">
      <c r="A13" s="5"/>
      <c r="B13" s="74" t="s">
        <v>188</v>
      </c>
      <c r="C13" s="66" t="s">
        <v>189</v>
      </c>
      <c r="D13" s="67">
        <v>4</v>
      </c>
      <c r="E13" s="68" t="s">
        <v>190</v>
      </c>
      <c r="F13" s="66"/>
      <c r="G13" s="66" t="s">
        <v>345</v>
      </c>
      <c r="H13" s="67"/>
      <c r="I13" s="201" t="s">
        <v>210</v>
      </c>
      <c r="J13" s="214"/>
      <c r="K13" s="5"/>
      <c r="L13" s="87"/>
      <c r="M13" s="54"/>
      <c r="N13" s="54"/>
      <c r="O13" s="54"/>
      <c r="P13" s="54"/>
      <c r="Q13" s="54"/>
      <c r="R13" s="54"/>
      <c r="S13" s="54"/>
      <c r="T13" s="54"/>
      <c r="U13" s="54"/>
      <c r="V13" s="54"/>
      <c r="W13" s="54"/>
      <c r="X13" s="54"/>
      <c r="Y13" s="88"/>
      <c r="Z13" s="76"/>
      <c r="AA13" s="76"/>
      <c r="AB13" s="76"/>
      <c r="AC13" s="76"/>
      <c r="AD13" s="76"/>
      <c r="AE13" s="76"/>
      <c r="AF13" s="76"/>
      <c r="AN13" s="330">
        <v>5.0229039050218587</v>
      </c>
      <c r="AO13" s="217">
        <v>75.563467440599425</v>
      </c>
      <c r="AP13" s="217">
        <v>75.563467440599425</v>
      </c>
    </row>
    <row r="14" spans="1:42" x14ac:dyDescent="0.2">
      <c r="A14" s="5"/>
      <c r="B14" s="74" t="s">
        <v>339</v>
      </c>
      <c r="C14" s="67" t="s">
        <v>341</v>
      </c>
      <c r="D14" s="67"/>
      <c r="E14" s="67"/>
      <c r="F14" s="67"/>
      <c r="G14" s="66" t="s">
        <v>344</v>
      </c>
      <c r="H14" s="67"/>
      <c r="I14" s="201" t="s">
        <v>343</v>
      </c>
      <c r="J14" s="70"/>
      <c r="K14" s="52"/>
      <c r="L14" s="87"/>
      <c r="M14" s="54"/>
      <c r="N14" s="54"/>
      <c r="O14" s="54"/>
      <c r="P14" s="54"/>
      <c r="Q14" s="54"/>
      <c r="R14" s="54"/>
      <c r="S14" s="54"/>
      <c r="T14" s="54"/>
      <c r="U14" s="54"/>
      <c r="V14" s="54"/>
      <c r="W14" s="54"/>
      <c r="X14" s="54"/>
      <c r="Y14" s="88"/>
      <c r="Z14" s="76"/>
      <c r="AA14" s="76"/>
      <c r="AB14" s="76"/>
      <c r="AC14" s="76"/>
      <c r="AD14" s="76"/>
      <c r="AE14" s="76"/>
      <c r="AF14" s="76"/>
      <c r="AN14" s="330">
        <v>5.5063131775967822</v>
      </c>
      <c r="AO14" s="217">
        <v>74.72334930553825</v>
      </c>
      <c r="AP14" s="217">
        <v>74.72334930553825</v>
      </c>
    </row>
    <row r="15" spans="1:42" ht="13.5" customHeight="1" x14ac:dyDescent="0.2">
      <c r="A15" s="5"/>
      <c r="B15" s="344" t="s">
        <v>211</v>
      </c>
      <c r="C15" s="359"/>
      <c r="D15" s="359"/>
      <c r="E15" s="359"/>
      <c r="F15" s="359"/>
      <c r="G15" s="359"/>
      <c r="H15" s="359"/>
      <c r="I15" s="359"/>
      <c r="J15" s="360"/>
      <c r="K15" s="5"/>
      <c r="L15" s="87"/>
      <c r="M15" s="54"/>
      <c r="N15" s="54"/>
      <c r="O15" s="54"/>
      <c r="P15" s="54"/>
      <c r="Q15" s="54"/>
      <c r="R15" s="54"/>
      <c r="S15" s="54"/>
      <c r="T15" s="54"/>
      <c r="U15" s="54"/>
      <c r="V15" s="54"/>
      <c r="W15" s="54"/>
      <c r="X15" s="54"/>
      <c r="Y15" s="88"/>
      <c r="Z15" s="76"/>
      <c r="AA15" s="76"/>
      <c r="AB15" s="76"/>
      <c r="AC15" s="76"/>
      <c r="AD15" s="76"/>
      <c r="AE15" s="76"/>
      <c r="AF15" s="76"/>
      <c r="AN15" s="330">
        <v>5.9944222699559084</v>
      </c>
      <c r="AO15" s="217">
        <v>73.883231170477018</v>
      </c>
      <c r="AP15" s="217">
        <v>73.883231170477018</v>
      </c>
    </row>
    <row r="16" spans="1:42" ht="13.5" customHeight="1" x14ac:dyDescent="0.2">
      <c r="A16" s="5"/>
      <c r="B16" s="30" t="s">
        <v>13</v>
      </c>
      <c r="C16" s="73"/>
      <c r="D16" s="21">
        <f>IF(C16&lt;&gt;"",C16,IF(D7="",D8,D7))</f>
        <v>100</v>
      </c>
      <c r="E16" s="22" t="s">
        <v>1</v>
      </c>
      <c r="F16" s="54"/>
      <c r="G16" s="54" t="s">
        <v>14</v>
      </c>
      <c r="H16" s="72"/>
      <c r="I16" s="24">
        <f>IF(H16&lt;&gt;"",H16,VLOOKUP($I$14,F74:H75,2,FALSE)/VLOOKUP($I$13,Constants!K29:L39,2,FALSE)^2)</f>
        <v>1414</v>
      </c>
      <c r="J16" s="29" t="s">
        <v>15</v>
      </c>
      <c r="K16" s="5"/>
      <c r="L16" s="87"/>
      <c r="M16" s="54"/>
      <c r="N16" s="54"/>
      <c r="O16" s="54"/>
      <c r="P16" s="54"/>
      <c r="Q16" s="54"/>
      <c r="R16" s="54"/>
      <c r="S16" s="54"/>
      <c r="T16" s="54"/>
      <c r="U16" s="54"/>
      <c r="V16" s="54"/>
      <c r="W16" s="54"/>
      <c r="X16" s="54"/>
      <c r="Y16" s="88"/>
      <c r="Z16" s="76"/>
      <c r="AA16" s="76"/>
      <c r="AB16" s="76"/>
      <c r="AC16" s="76"/>
      <c r="AD16" s="76"/>
      <c r="AE16" s="76"/>
      <c r="AF16" s="76"/>
      <c r="AN16" s="330">
        <v>6.4872884944753428</v>
      </c>
      <c r="AO16" s="217">
        <v>73.043113035415843</v>
      </c>
      <c r="AP16" s="217">
        <v>73.043113035415843</v>
      </c>
    </row>
    <row r="17" spans="1:42" ht="13.5" customHeight="1" x14ac:dyDescent="0.2">
      <c r="A17" s="5"/>
      <c r="B17" s="30" t="s">
        <v>191</v>
      </c>
      <c r="C17" s="54"/>
      <c r="D17" s="25">
        <f>IF(D16&lt;&gt;"",ASIN(Planet_Radius/(Planet_Radius+D16))*180/PI(),"")</f>
        <v>71.007893369601348</v>
      </c>
      <c r="E17" s="22" t="s">
        <v>17</v>
      </c>
      <c r="F17" s="54"/>
      <c r="G17" s="54" t="s">
        <v>18</v>
      </c>
      <c r="H17" s="72"/>
      <c r="I17" s="26">
        <f>IF(H17&lt;&gt;"",H17,Planet_Albedo)</f>
        <v>7.2999999999999995E-2</v>
      </c>
      <c r="J17" s="29"/>
      <c r="K17" s="5"/>
      <c r="L17" s="87"/>
      <c r="M17" s="54"/>
      <c r="N17" s="54"/>
      <c r="O17" s="54"/>
      <c r="P17" s="54"/>
      <c r="Q17" s="54"/>
      <c r="R17" s="54"/>
      <c r="S17" s="54"/>
      <c r="T17" s="54"/>
      <c r="U17" s="54"/>
      <c r="V17" s="54"/>
      <c r="W17" s="54"/>
      <c r="X17" s="54"/>
      <c r="Y17" s="88"/>
      <c r="Z17" s="76"/>
      <c r="AA17" s="76"/>
      <c r="AB17" s="76"/>
      <c r="AC17" s="76"/>
      <c r="AD17" s="76"/>
      <c r="AE17" s="76"/>
      <c r="AF17" s="76"/>
      <c r="AN17" s="330">
        <v>6.9849700053409842</v>
      </c>
      <c r="AO17" s="217">
        <v>72.202994900354611</v>
      </c>
      <c r="AP17" s="217">
        <v>72.202994900354611</v>
      </c>
    </row>
    <row r="18" spans="1:42" ht="13.5" customHeight="1" x14ac:dyDescent="0.2">
      <c r="A18" s="5"/>
      <c r="B18" s="30" t="s">
        <v>19</v>
      </c>
      <c r="C18" s="54"/>
      <c r="D18" s="21">
        <f>IF(D17&lt;&gt;"",0.664+0.521*D17*PI()/180-0.203*(D17*PI()/180)^2,"")</f>
        <v>0.99789519269651805</v>
      </c>
      <c r="E18" s="22"/>
      <c r="F18" s="54"/>
      <c r="G18" s="54" t="s">
        <v>20</v>
      </c>
      <c r="H18" s="72"/>
      <c r="I18" s="24">
        <f>IF(H18&lt;&gt;"",H18,Planet_MaxIR)</f>
        <v>1226</v>
      </c>
      <c r="J18" s="29" t="s">
        <v>15</v>
      </c>
      <c r="K18" s="5"/>
      <c r="L18" s="87"/>
      <c r="M18" s="54"/>
      <c r="N18" s="54"/>
      <c r="O18" s="54"/>
      <c r="P18" s="54"/>
      <c r="Q18" s="54"/>
      <c r="R18" s="54"/>
      <c r="S18" s="54"/>
      <c r="T18" s="54"/>
      <c r="U18" s="54"/>
      <c r="V18" s="54"/>
      <c r="W18" s="54"/>
      <c r="X18" s="54"/>
      <c r="Y18" s="88"/>
      <c r="Z18" s="76"/>
      <c r="AA18" s="76"/>
      <c r="AB18" s="76"/>
      <c r="AC18" s="76"/>
      <c r="AD18" s="76"/>
      <c r="AE18" s="76"/>
      <c r="AF18" s="76"/>
      <c r="AN18" s="330">
        <v>7.4875258130331579</v>
      </c>
      <c r="AO18" s="217">
        <v>71.362876765293436</v>
      </c>
      <c r="AP18" s="217">
        <v>71.362876765293436</v>
      </c>
    </row>
    <row r="19" spans="1:42" ht="13.5" customHeight="1" x14ac:dyDescent="0.2">
      <c r="A19" s="5"/>
      <c r="B19" s="30"/>
      <c r="C19" s="54"/>
      <c r="D19" s="54"/>
      <c r="E19" s="22"/>
      <c r="F19" s="54"/>
      <c r="G19" s="54" t="s">
        <v>21</v>
      </c>
      <c r="H19" s="72"/>
      <c r="I19" s="24">
        <f>IF(H19&lt;&gt;"",H19,Planet_MinIR)</f>
        <v>5.2</v>
      </c>
      <c r="J19" s="29" t="s">
        <v>15</v>
      </c>
      <c r="K19" s="5"/>
      <c r="L19" s="87"/>
      <c r="M19" s="54"/>
      <c r="N19" s="54"/>
      <c r="O19" s="54"/>
      <c r="P19" s="54"/>
      <c r="Q19" s="54"/>
      <c r="R19" s="54"/>
      <c r="S19" s="54"/>
      <c r="T19" s="54"/>
      <c r="U19" s="54"/>
      <c r="V19" s="54"/>
      <c r="W19" s="54"/>
      <c r="X19" s="54"/>
      <c r="Y19" s="88"/>
      <c r="AA19" s="77"/>
      <c r="AB19" s="77"/>
      <c r="AC19" s="77"/>
      <c r="AD19" s="77"/>
      <c r="AE19" s="77"/>
      <c r="AF19" s="77"/>
      <c r="AN19" s="330">
        <v>7.9950157990978266</v>
      </c>
      <c r="AO19" s="217">
        <v>70.522758630232261</v>
      </c>
      <c r="AP19" s="217">
        <v>70.522758630232261</v>
      </c>
    </row>
    <row r="20" spans="1:42" ht="13.5" customHeight="1" x14ac:dyDescent="0.2">
      <c r="A20" s="5"/>
      <c r="B20" s="30" t="s">
        <v>22</v>
      </c>
      <c r="C20" s="72"/>
      <c r="D20" s="25">
        <f>IF(C20&lt;&gt;"",C20,D10)</f>
        <v>0.14000000000000001</v>
      </c>
      <c r="E20" s="22" t="s">
        <v>23</v>
      </c>
      <c r="F20" s="54"/>
      <c r="G20" s="54"/>
      <c r="H20" s="54"/>
      <c r="I20" s="54"/>
      <c r="J20" s="29"/>
      <c r="K20" s="5"/>
      <c r="L20" s="87"/>
      <c r="M20" s="54"/>
      <c r="N20" s="54"/>
      <c r="O20" s="54"/>
      <c r="P20" s="54"/>
      <c r="Q20" s="54"/>
      <c r="R20" s="54"/>
      <c r="S20" s="54"/>
      <c r="T20" s="54"/>
      <c r="U20" s="54"/>
      <c r="V20" s="54"/>
      <c r="W20" s="54"/>
      <c r="X20" s="54"/>
      <c r="Y20" s="88"/>
      <c r="AA20" s="77"/>
      <c r="AB20" s="77"/>
      <c r="AC20" s="77"/>
      <c r="AD20" s="77"/>
      <c r="AE20" s="77"/>
      <c r="AF20" s="77"/>
      <c r="AN20" s="330">
        <v>8.5075007312100723</v>
      </c>
      <c r="AO20" s="217">
        <v>69.682640495171029</v>
      </c>
      <c r="AP20" s="217">
        <v>69.682640495171029</v>
      </c>
    </row>
    <row r="21" spans="1:42" ht="13.5" customHeight="1" x14ac:dyDescent="0.2">
      <c r="A21" s="5"/>
      <c r="B21" s="30" t="s">
        <v>24</v>
      </c>
      <c r="C21" s="54"/>
      <c r="D21" s="25">
        <f>IF(D20&lt;&gt;"",SQRT(D20/(PI())),"")</f>
        <v>0.21110041228223764</v>
      </c>
      <c r="E21" s="22" t="s">
        <v>25</v>
      </c>
      <c r="F21" s="54"/>
      <c r="G21" s="54" t="s">
        <v>26</v>
      </c>
      <c r="H21" s="54"/>
      <c r="I21" s="24">
        <f>IF(D21&lt;&gt;"",I16*PI()*(D21/2)^2*D24,"")</f>
        <v>7.9184000000000028</v>
      </c>
      <c r="J21" s="29" t="s">
        <v>27</v>
      </c>
      <c r="K21" s="5"/>
      <c r="L21" s="87"/>
      <c r="M21" s="54"/>
      <c r="N21" s="54"/>
      <c r="O21" s="54"/>
      <c r="P21" s="54"/>
      <c r="Q21" s="54"/>
      <c r="R21" s="54"/>
      <c r="S21" s="54"/>
      <c r="T21" s="54"/>
      <c r="U21" s="54"/>
      <c r="V21" s="54"/>
      <c r="W21" s="54"/>
      <c r="X21" s="54"/>
      <c r="Y21" s="88"/>
      <c r="AA21" s="77"/>
      <c r="AB21" s="77"/>
      <c r="AC21" s="77"/>
      <c r="AD21" s="77"/>
      <c r="AE21" s="77"/>
      <c r="AF21" s="77"/>
      <c r="AN21" s="330">
        <v>9.0250422785365849</v>
      </c>
      <c r="AO21" s="217">
        <v>68.842522360109854</v>
      </c>
      <c r="AP21" s="217">
        <v>68.842522360109854</v>
      </c>
    </row>
    <row r="22" spans="1:42" ht="13.5" customHeight="1" x14ac:dyDescent="0.2">
      <c r="A22" s="5"/>
      <c r="B22" s="30"/>
      <c r="C22" s="54"/>
      <c r="D22" s="54"/>
      <c r="E22" s="22"/>
      <c r="F22" s="54"/>
      <c r="G22" s="54" t="s">
        <v>28</v>
      </c>
      <c r="H22" s="54"/>
      <c r="I22" s="24">
        <f>IF(AND(D17&lt;&gt;"",I21&lt;&gt;""),I21*I17*D18*(SIN(D17*PI()/180)^2),"")</f>
        <v>0.51573493564779638</v>
      </c>
      <c r="J22" s="29" t="s">
        <v>27</v>
      </c>
      <c r="K22" s="5"/>
      <c r="L22" s="87"/>
      <c r="M22" s="54"/>
      <c r="N22" s="54"/>
      <c r="O22" s="54"/>
      <c r="P22" s="54"/>
      <c r="Q22" s="54"/>
      <c r="R22" s="54"/>
      <c r="S22" s="54"/>
      <c r="T22" s="54"/>
      <c r="U22" s="54"/>
      <c r="V22" s="54"/>
      <c r="W22" s="54"/>
      <c r="X22" s="54"/>
      <c r="Y22" s="88"/>
      <c r="AA22" s="77"/>
      <c r="AB22" s="77"/>
      <c r="AC22" s="77"/>
      <c r="AD22" s="77"/>
      <c r="AE22" s="77"/>
      <c r="AF22" s="77"/>
      <c r="AN22" s="330">
        <v>9.5477030274043475</v>
      </c>
      <c r="AO22" s="217">
        <v>68.002404225048622</v>
      </c>
      <c r="AP22" s="217">
        <v>68.002404225048622</v>
      </c>
    </row>
    <row r="23" spans="1:42" ht="13.5" customHeight="1" x14ac:dyDescent="0.2">
      <c r="A23" s="5"/>
      <c r="B23" s="30" t="s">
        <v>161</v>
      </c>
      <c r="C23" s="203" t="s">
        <v>350</v>
      </c>
      <c r="D23" s="54"/>
      <c r="E23" s="22"/>
      <c r="F23" s="54"/>
      <c r="G23" s="54" t="s">
        <v>30</v>
      </c>
      <c r="H23" s="54"/>
      <c r="I23" s="24">
        <f>IF(AND(D17&lt;&gt;"",D21&lt;&gt;""),I18*PI()*(D21/2)^2*D25*(SIN(D17*PI()/180)^2),"")</f>
        <v>29.92501946061854</v>
      </c>
      <c r="J23" s="29" t="s">
        <v>27</v>
      </c>
      <c r="K23" s="5"/>
      <c r="L23" s="87"/>
      <c r="M23" s="54"/>
      <c r="N23" s="54"/>
      <c r="O23" s="54"/>
      <c r="P23" s="54"/>
      <c r="Q23" s="54"/>
      <c r="R23" s="54"/>
      <c r="S23" s="54"/>
      <c r="T23" s="54"/>
      <c r="U23" s="54"/>
      <c r="V23" s="54"/>
      <c r="W23" s="54"/>
      <c r="X23" s="54"/>
      <c r="Y23" s="88"/>
      <c r="AA23" s="77"/>
      <c r="AB23" s="77"/>
      <c r="AC23" s="77"/>
      <c r="AD23" s="77"/>
      <c r="AE23" s="77"/>
      <c r="AF23" s="77"/>
      <c r="AN23" s="330">
        <v>10.075546497281458</v>
      </c>
      <c r="AO23" s="217">
        <v>67.162286089987447</v>
      </c>
      <c r="AP23" s="217">
        <v>67.162286089987447</v>
      </c>
    </row>
    <row r="24" spans="1:42" ht="13.5" customHeight="1" x14ac:dyDescent="0.2">
      <c r="A24" s="5"/>
      <c r="B24" s="30" t="s">
        <v>29</v>
      </c>
      <c r="C24" s="75"/>
      <c r="D24" s="27">
        <f>IF($C$14="Deployable SA",IF(C24&lt;&gt;"",C24,IF(C23&lt;&gt;"None",VLOOKUP($C$23,$A$81:$C$101,2,FALSE),I9)),(36*I9+64*0.75)/100)</f>
        <v>0.16</v>
      </c>
      <c r="E24" s="22"/>
      <c r="F24" s="54"/>
      <c r="G24" s="54" t="s">
        <v>32</v>
      </c>
      <c r="H24" s="54"/>
      <c r="I24" s="24">
        <f>IF(AND(D17&lt;&gt;"",D21&lt;&gt;""),I19*PI()*(D21/2)^2*D25*(SIN(D17*PI()/180)^2),"")</f>
        <v>0.12692504175792529</v>
      </c>
      <c r="J24" s="29" t="s">
        <v>27</v>
      </c>
      <c r="K24" s="5"/>
      <c r="L24" s="87"/>
      <c r="M24" s="54"/>
      <c r="N24" s="54"/>
      <c r="O24" s="54"/>
      <c r="P24" s="54"/>
      <c r="Q24" s="54"/>
      <c r="R24" s="54"/>
      <c r="S24" s="54"/>
      <c r="T24" s="54"/>
      <c r="U24" s="54"/>
      <c r="V24" s="54"/>
      <c r="W24" s="54"/>
      <c r="X24" s="54"/>
      <c r="Y24" s="88"/>
      <c r="AA24" s="77" t="s">
        <v>207</v>
      </c>
      <c r="AB24" s="77" t="s">
        <v>204</v>
      </c>
      <c r="AC24" s="77" t="s">
        <v>203</v>
      </c>
      <c r="AD24" s="77" t="s">
        <v>192</v>
      </c>
      <c r="AE24" s="77" t="s">
        <v>193</v>
      </c>
      <c r="AF24" s="77"/>
      <c r="AN24" s="330">
        <v>10.608637157078249</v>
      </c>
      <c r="AO24" s="217">
        <v>66.322167954926215</v>
      </c>
      <c r="AP24" s="217">
        <v>66.322167954926215</v>
      </c>
    </row>
    <row r="25" spans="1:42" ht="13.5" customHeight="1" thickBot="1" x14ac:dyDescent="0.25">
      <c r="A25" s="5"/>
      <c r="B25" s="30" t="s">
        <v>31</v>
      </c>
      <c r="C25" s="332"/>
      <c r="D25" s="333">
        <f>IF($C$14="Deployable SA",IF(C25&lt;&gt;"",C25,IF(C23&lt;&gt;"None",VLOOKUP($C$23,$A$81:$C$101,3,FALSE),I10)),(36*I10+64*0.83)/100)</f>
        <v>0.78</v>
      </c>
      <c r="E25" s="22"/>
      <c r="F25" s="54"/>
      <c r="G25" s="54"/>
      <c r="H25" s="54"/>
      <c r="I25" s="54"/>
      <c r="J25" s="29"/>
      <c r="K25" s="5"/>
      <c r="L25" s="87"/>
      <c r="M25" s="54"/>
      <c r="N25" s="54"/>
      <c r="O25" s="54"/>
      <c r="P25" s="54"/>
      <c r="Q25" s="54"/>
      <c r="R25" s="54"/>
      <c r="S25" s="54"/>
      <c r="T25" s="54"/>
      <c r="U25" s="54"/>
      <c r="V25" s="54"/>
      <c r="W25" s="54"/>
      <c r="X25" s="54"/>
      <c r="Y25" s="88"/>
      <c r="AA25" s="77" t="s">
        <v>357</v>
      </c>
      <c r="AB25" s="77">
        <v>0.15</v>
      </c>
      <c r="AC25" s="77">
        <v>0.05</v>
      </c>
      <c r="AD25" s="77">
        <v>180</v>
      </c>
      <c r="AE25" s="77">
        <v>896</v>
      </c>
      <c r="AF25" s="77"/>
      <c r="AN25" s="330">
        <v>11.147040441774823</v>
      </c>
      <c r="AO25" s="217">
        <v>65.48204981986504</v>
      </c>
      <c r="AP25" s="217">
        <v>65.48204981986504</v>
      </c>
    </row>
    <row r="26" spans="1:42" ht="13.5" customHeight="1" x14ac:dyDescent="0.2">
      <c r="A26" s="5"/>
      <c r="B26" s="30"/>
      <c r="C26" s="54"/>
      <c r="D26" s="54"/>
      <c r="E26" s="22"/>
      <c r="F26" s="54"/>
      <c r="G26" s="35" t="s">
        <v>34</v>
      </c>
      <c r="H26" s="36">
        <f>IF(AND(D17&lt;&gt;"",D20&lt;&gt;"",D27&lt;&gt;""),((I21+I22+I23+D27)/D20/D25/Stefan_Boltzmann_Constants)^0.25-273,"")</f>
        <v>51.143995230712392</v>
      </c>
      <c r="I26" s="37" t="s">
        <v>35</v>
      </c>
      <c r="J26" s="29"/>
      <c r="K26" s="5"/>
      <c r="L26" s="87"/>
      <c r="M26" s="54"/>
      <c r="N26" s="54"/>
      <c r="O26" s="54"/>
      <c r="P26" s="54"/>
      <c r="Q26" s="54"/>
      <c r="R26" s="54"/>
      <c r="S26" s="54"/>
      <c r="T26" s="54"/>
      <c r="U26" s="54"/>
      <c r="V26" s="54"/>
      <c r="W26" s="54"/>
      <c r="X26" s="54"/>
      <c r="Y26" s="88"/>
      <c r="AA26" s="77" t="s">
        <v>358</v>
      </c>
      <c r="AB26" s="77">
        <v>0.15</v>
      </c>
      <c r="AC26" s="77">
        <v>0.05</v>
      </c>
      <c r="AD26" s="77">
        <v>130</v>
      </c>
      <c r="AE26" s="77">
        <v>960</v>
      </c>
      <c r="AF26" s="77"/>
      <c r="AN26" s="330">
        <v>11.69082276938347</v>
      </c>
      <c r="AO26" s="217">
        <v>64.641931684803865</v>
      </c>
      <c r="AP26" s="217">
        <v>64.641931684803865</v>
      </c>
    </row>
    <row r="27" spans="1:42" ht="13.5" customHeight="1" x14ac:dyDescent="0.2">
      <c r="A27" s="5"/>
      <c r="B27" s="30" t="s">
        <v>33</v>
      </c>
      <c r="C27" s="72"/>
      <c r="D27" s="24">
        <f>IF(C27&lt;&gt;"",C27,MAX(D11,D12))</f>
        <v>30</v>
      </c>
      <c r="E27" s="22" t="s">
        <v>27</v>
      </c>
      <c r="F27" s="54"/>
      <c r="G27" s="215" t="s">
        <v>37</v>
      </c>
      <c r="H27" s="24">
        <f>IF(AND(D17&lt;&gt;"",D20&lt;&gt;"",D28&lt;&gt;""),((I24+D28)/(D20*3/4)/D25/Stefan_Boltzmann_Constants)^0.25-273,"")</f>
        <v>10.799872570804553</v>
      </c>
      <c r="I27" s="216" t="s">
        <v>35</v>
      </c>
      <c r="J27" s="29"/>
      <c r="K27" s="5"/>
      <c r="L27" s="87"/>
      <c r="M27" s="54"/>
      <c r="N27" s="54"/>
      <c r="O27" s="54"/>
      <c r="P27" s="54"/>
      <c r="Q27" s="54"/>
      <c r="R27" s="54"/>
      <c r="S27" s="54"/>
      <c r="T27" s="54"/>
      <c r="U27" s="54"/>
      <c r="V27" s="54"/>
      <c r="W27" s="54"/>
      <c r="X27" s="54"/>
      <c r="Y27" s="88"/>
      <c r="AA27" s="77" t="s">
        <v>205</v>
      </c>
      <c r="AB27" s="77">
        <v>0.9</v>
      </c>
      <c r="AC27" s="77">
        <v>0.8</v>
      </c>
      <c r="AD27" s="77">
        <v>387</v>
      </c>
      <c r="AE27" s="77">
        <v>385</v>
      </c>
      <c r="AF27" s="77"/>
      <c r="AN27" s="330">
        <v>12.240051558252777</v>
      </c>
      <c r="AO27" s="217">
        <v>63.801813549742633</v>
      </c>
      <c r="AP27" s="217">
        <v>63.801813549742633</v>
      </c>
    </row>
    <row r="28" spans="1:42" ht="13.5" customHeight="1" thickBot="1" x14ac:dyDescent="0.25">
      <c r="A28" s="5"/>
      <c r="B28" s="30" t="s">
        <v>36</v>
      </c>
      <c r="C28" s="72"/>
      <c r="D28" s="24">
        <f>IF(C28&lt;&gt;"",C28,MIN(D11,D12))</f>
        <v>30</v>
      </c>
      <c r="E28" s="22" t="s">
        <v>27</v>
      </c>
      <c r="F28" s="54"/>
      <c r="G28" s="38" t="s">
        <v>385</v>
      </c>
      <c r="H28" s="218">
        <f>ROUND(VLOOKUP(D9,AN1:AO185,2,TRUE),1)</f>
        <v>31.9</v>
      </c>
      <c r="I28" s="39" t="s">
        <v>346</v>
      </c>
      <c r="J28" s="29"/>
      <c r="K28" s="5"/>
      <c r="L28" s="87"/>
      <c r="M28" s="54"/>
      <c r="N28" s="54"/>
      <c r="O28" s="54"/>
      <c r="P28" s="54"/>
      <c r="Q28" s="54"/>
      <c r="R28" s="54"/>
      <c r="S28" s="54"/>
      <c r="T28" s="54"/>
      <c r="U28" s="54"/>
      <c r="V28" s="54"/>
      <c r="W28" s="54"/>
      <c r="X28" s="54"/>
      <c r="Y28" s="88"/>
      <c r="AA28" s="77" t="s">
        <v>194</v>
      </c>
      <c r="AB28" s="77">
        <v>0.75</v>
      </c>
      <c r="AC28" s="77">
        <v>0.83</v>
      </c>
      <c r="AD28" s="77">
        <v>38</v>
      </c>
      <c r="AE28" s="77">
        <v>800</v>
      </c>
      <c r="AF28" s="77"/>
      <c r="AN28" s="330">
        <v>12.794795244721485</v>
      </c>
      <c r="AO28" s="217">
        <v>62.961695414681458</v>
      </c>
      <c r="AP28" s="217">
        <v>62.961695414681458</v>
      </c>
    </row>
    <row r="29" spans="1:42" ht="13.5" customHeight="1" x14ac:dyDescent="0.2">
      <c r="A29" s="5"/>
      <c r="B29" s="30"/>
      <c r="C29" s="54"/>
      <c r="D29" s="54"/>
      <c r="E29" s="22"/>
      <c r="F29" s="54"/>
      <c r="G29" s="54"/>
      <c r="H29" s="54"/>
      <c r="I29" s="54"/>
      <c r="J29" s="29"/>
      <c r="K29" s="5"/>
      <c r="L29" s="87"/>
      <c r="M29" s="54"/>
      <c r="N29" s="54"/>
      <c r="O29" s="54"/>
      <c r="P29" s="54"/>
      <c r="Q29" s="54"/>
      <c r="R29" s="54"/>
      <c r="S29" s="54"/>
      <c r="T29" s="54"/>
      <c r="U29" s="54"/>
      <c r="V29" s="54"/>
      <c r="W29" s="54"/>
      <c r="X29" s="54"/>
      <c r="Y29" s="88"/>
      <c r="AA29" s="77" t="s">
        <v>206</v>
      </c>
      <c r="AB29" s="77">
        <v>0.52</v>
      </c>
      <c r="AC29" s="77">
        <v>0.1</v>
      </c>
      <c r="AD29" s="77">
        <v>12.2</v>
      </c>
      <c r="AE29" s="77">
        <v>525</v>
      </c>
      <c r="AF29" s="77"/>
      <c r="AN29" s="330">
        <v>13.355123301130504</v>
      </c>
      <c r="AO29" s="217">
        <v>62.121577279620226</v>
      </c>
      <c r="AP29" s="217">
        <v>62.121577279620226</v>
      </c>
    </row>
    <row r="30" spans="1:42" ht="13.5" customHeight="1" x14ac:dyDescent="0.2">
      <c r="A30" s="5"/>
      <c r="B30" s="30" t="s">
        <v>38</v>
      </c>
      <c r="C30" s="72"/>
      <c r="D30" s="24">
        <f>IF('Thermal Budget and summary '!K14&lt;&gt;0,'Thermal Budget and summary '!K14,IF(C30&lt;&gt;"",C30,35))</f>
        <v>35</v>
      </c>
      <c r="E30" s="22" t="s">
        <v>35</v>
      </c>
      <c r="F30" s="54"/>
      <c r="G30" s="54"/>
      <c r="H30" s="54"/>
      <c r="I30" s="54"/>
      <c r="J30" s="29"/>
      <c r="K30" s="5"/>
      <c r="L30" s="87"/>
      <c r="M30" s="54"/>
      <c r="N30" s="54"/>
      <c r="O30" s="54"/>
      <c r="P30" s="54"/>
      <c r="Q30" s="54"/>
      <c r="R30" s="54"/>
      <c r="S30" s="54"/>
      <c r="T30" s="54"/>
      <c r="U30" s="54"/>
      <c r="V30" s="54"/>
      <c r="W30" s="54"/>
      <c r="X30" s="54"/>
      <c r="Y30" s="88"/>
      <c r="AA30" s="77" t="s">
        <v>195</v>
      </c>
      <c r="AB30" s="77">
        <v>0.6</v>
      </c>
      <c r="AC30" s="77">
        <v>0.9</v>
      </c>
      <c r="AD30" s="77">
        <v>130</v>
      </c>
      <c r="AE30" s="77">
        <v>700</v>
      </c>
      <c r="AF30" s="77"/>
      <c r="AN30" s="330">
        <v>13.921106254200346</v>
      </c>
      <c r="AO30" s="217">
        <v>61.281459144559051</v>
      </c>
      <c r="AP30" s="217">
        <v>61.281459144559051</v>
      </c>
    </row>
    <row r="31" spans="1:42" ht="13.5" customHeight="1" x14ac:dyDescent="0.2">
      <c r="A31" s="5"/>
      <c r="B31" s="30" t="s">
        <v>39</v>
      </c>
      <c r="C31" s="72"/>
      <c r="D31" s="24">
        <f>IF('Thermal Budget and summary '!K15&lt;&gt;0,'Thermal Budget and summary '!K15,IF(C31&lt;&gt;"",C31,5))</f>
        <v>5</v>
      </c>
      <c r="E31" s="22" t="s">
        <v>35</v>
      </c>
      <c r="F31" s="54"/>
      <c r="G31" s="54"/>
      <c r="H31" s="54"/>
      <c r="I31" s="54"/>
      <c r="J31" s="29"/>
      <c r="K31" s="5"/>
      <c r="L31" s="87"/>
      <c r="M31" s="54"/>
      <c r="N31" s="54"/>
      <c r="O31" s="54"/>
      <c r="P31" s="54"/>
      <c r="Q31" s="54"/>
      <c r="R31" s="54"/>
      <c r="S31" s="54"/>
      <c r="T31" s="54"/>
      <c r="U31" s="54"/>
      <c r="V31" s="54"/>
      <c r="W31" s="54"/>
      <c r="X31" s="54"/>
      <c r="Y31" s="88"/>
      <c r="AA31" s="77" t="s">
        <v>196</v>
      </c>
      <c r="AB31" s="77">
        <v>0.5</v>
      </c>
      <c r="AC31" s="77">
        <v>0.25</v>
      </c>
      <c r="AD31" s="77">
        <v>45</v>
      </c>
      <c r="AE31" s="77">
        <v>434</v>
      </c>
      <c r="AF31" s="77"/>
      <c r="AN31" s="330">
        <v>14.492815703783625</v>
      </c>
      <c r="AO31" s="217">
        <v>60.441341009497819</v>
      </c>
      <c r="AP31" s="217">
        <v>60.441341009497819</v>
      </c>
    </row>
    <row r="32" spans="1:42" ht="13.5" customHeight="1" thickBot="1" x14ac:dyDescent="0.25">
      <c r="A32" s="5"/>
      <c r="B32" s="55"/>
      <c r="C32" s="56"/>
      <c r="D32" s="56"/>
      <c r="E32" s="33"/>
      <c r="F32" s="56"/>
      <c r="G32" s="56"/>
      <c r="H32" s="56"/>
      <c r="I32" s="56"/>
      <c r="J32" s="34"/>
      <c r="K32" s="5"/>
      <c r="L32" s="89"/>
      <c r="M32" s="90"/>
      <c r="N32" s="90"/>
      <c r="O32" s="90"/>
      <c r="P32" s="90"/>
      <c r="Q32" s="90"/>
      <c r="R32" s="90"/>
      <c r="S32" s="90"/>
      <c r="T32" s="90"/>
      <c r="U32" s="90"/>
      <c r="V32" s="90"/>
      <c r="W32" s="90"/>
      <c r="X32" s="90"/>
      <c r="Y32" s="91"/>
      <c r="AA32" s="77" t="s">
        <v>197</v>
      </c>
      <c r="AB32" s="77">
        <v>0.15</v>
      </c>
      <c r="AC32" s="77">
        <v>0.8</v>
      </c>
      <c r="AD32" s="77">
        <v>35.299999999999997</v>
      </c>
      <c r="AE32" s="77">
        <v>160</v>
      </c>
      <c r="AF32" s="77"/>
      <c r="AN32" s="330">
        <v>15.070324341999891</v>
      </c>
      <c r="AO32" s="217">
        <v>59.601222874436644</v>
      </c>
      <c r="AP32" s="217">
        <v>59.601222874436644</v>
      </c>
    </row>
    <row r="33" spans="1:44" ht="13.5" customHeight="1" thickTop="1" thickBot="1" x14ac:dyDescent="0.3">
      <c r="A33" s="5"/>
      <c r="B33" s="52"/>
      <c r="C33" s="52"/>
      <c r="D33" s="52"/>
      <c r="E33" s="9"/>
      <c r="F33" s="52"/>
      <c r="G33" s="52"/>
      <c r="H33" s="52"/>
      <c r="I33" s="52"/>
      <c r="J33" s="9"/>
      <c r="K33" s="5"/>
      <c r="L33" s="346" t="s">
        <v>216</v>
      </c>
      <c r="M33" s="347"/>
      <c r="N33" s="347"/>
      <c r="O33" s="347"/>
      <c r="P33" s="347"/>
      <c r="Q33" s="347"/>
      <c r="R33" s="347"/>
      <c r="S33" s="347"/>
      <c r="T33" s="347"/>
      <c r="U33" s="347"/>
      <c r="V33" s="347"/>
      <c r="W33" s="347"/>
      <c r="X33" s="347"/>
      <c r="Y33" s="347"/>
      <c r="AA33" s="77" t="s">
        <v>198</v>
      </c>
      <c r="AB33" s="77">
        <v>9.6000000000000002E-2</v>
      </c>
      <c r="AC33" s="77">
        <v>0.03</v>
      </c>
      <c r="AD33" s="77">
        <v>116</v>
      </c>
      <c r="AE33" s="77">
        <v>380</v>
      </c>
      <c r="AF33" s="77"/>
      <c r="AN33" s="330">
        <v>15.653705972762939</v>
      </c>
      <c r="AO33" s="217">
        <v>58.761104739375469</v>
      </c>
      <c r="AP33" s="217">
        <v>58.761104739375469</v>
      </c>
    </row>
    <row r="34" spans="1:44" ht="13.5" customHeight="1" thickTop="1" x14ac:dyDescent="0.2">
      <c r="A34" s="5"/>
      <c r="B34" s="350" t="s">
        <v>164</v>
      </c>
      <c r="C34" s="351"/>
      <c r="D34" s="351"/>
      <c r="E34" s="351"/>
      <c r="F34" s="351"/>
      <c r="G34" s="351"/>
      <c r="H34" s="351"/>
      <c r="I34" s="351"/>
      <c r="J34" s="352"/>
      <c r="K34" s="5"/>
      <c r="L34" s="84"/>
      <c r="M34" s="85"/>
      <c r="N34" s="85"/>
      <c r="O34" s="85"/>
      <c r="P34" s="85"/>
      <c r="Q34" s="85"/>
      <c r="R34" s="85"/>
      <c r="S34" s="85"/>
      <c r="T34" s="85"/>
      <c r="U34" s="85"/>
      <c r="V34" s="85"/>
      <c r="W34" s="85"/>
      <c r="X34" s="85"/>
      <c r="Y34" s="86"/>
      <c r="Z34" s="77"/>
      <c r="AA34" s="77" t="s">
        <v>199</v>
      </c>
      <c r="AB34" s="77"/>
      <c r="AC34" s="77">
        <v>0.97</v>
      </c>
      <c r="AD34" s="77">
        <v>0.12</v>
      </c>
      <c r="AE34" s="77">
        <v>2000</v>
      </c>
      <c r="AF34" s="77"/>
      <c r="AN34" s="330">
        <v>16.243035531708689</v>
      </c>
      <c r="AO34" s="217">
        <v>57.920986604314237</v>
      </c>
      <c r="AP34" s="217">
        <v>57.920986604314237</v>
      </c>
    </row>
    <row r="35" spans="1:44" ht="13.5" customHeight="1" x14ac:dyDescent="0.25">
      <c r="A35" s="5"/>
      <c r="B35" s="19"/>
      <c r="C35" s="57"/>
      <c r="D35" s="57"/>
      <c r="E35" s="57"/>
      <c r="F35" s="57"/>
      <c r="G35" s="57"/>
      <c r="H35" s="57"/>
      <c r="I35" s="57"/>
      <c r="J35" s="58"/>
      <c r="K35" s="5"/>
      <c r="L35" s="87"/>
      <c r="M35" s="54"/>
      <c r="N35" s="54"/>
      <c r="O35" s="54"/>
      <c r="P35" s="54"/>
      <c r="Q35" s="54"/>
      <c r="R35" s="54"/>
      <c r="S35" s="54"/>
      <c r="T35" s="54"/>
      <c r="U35" s="54"/>
      <c r="V35" s="54"/>
      <c r="W35" s="54"/>
      <c r="X35" s="54"/>
      <c r="Y35" s="88"/>
      <c r="Z35" s="77"/>
      <c r="AA35" s="77" t="s">
        <v>201</v>
      </c>
      <c r="AB35" s="77">
        <v>0.14000000000000001</v>
      </c>
      <c r="AC35" s="77">
        <v>0.52</v>
      </c>
      <c r="AD35" s="77">
        <v>0.12</v>
      </c>
      <c r="AE35" s="77">
        <v>1090</v>
      </c>
      <c r="AF35" s="77"/>
      <c r="AN35" s="330">
        <v>16.838389106533391</v>
      </c>
      <c r="AO35" s="217">
        <v>57.080868469253062</v>
      </c>
      <c r="AP35" s="217">
        <v>57.080868469253062</v>
      </c>
    </row>
    <row r="36" spans="1:44" ht="13.5" customHeight="1" x14ac:dyDescent="0.2">
      <c r="A36" s="5"/>
      <c r="B36" s="59" t="s">
        <v>40</v>
      </c>
      <c r="C36" s="57"/>
      <c r="D36" s="12">
        <f>IF(H26&lt;&gt;"",IF(H26&lt;D30,"N/A",4*PI()*D27/(4*PI()*D25*Stefan_Boltzmann_Constants*(273+D30)^4-PI()*I16*D24*(1+I17*D18*(SIN(D17*PI()/180))^2)-PI()*I18*D25*(SIN(D17*PI()/180))^2)-D20),"")</f>
        <v>0.10185842675645354</v>
      </c>
      <c r="E36" s="13" t="s">
        <v>23</v>
      </c>
      <c r="F36" s="57"/>
      <c r="G36" s="57" t="s">
        <v>41</v>
      </c>
      <c r="H36" s="57"/>
      <c r="I36" s="20">
        <f>IF(D36="","",IF(D36="N/A","N/A",(Stefan_Boltzmann_Constants*I37*4*PI()*(D21/2)^2*(273+D30)^4-D27-I18*I37*PI()*(D21/2)^2*(SIN(D17*PI()/180))^2)/(PI()*(D21/2)^2*I16*(1+I17*D18*(SIN(D17*PI()/180))^2))))</f>
        <v>1.1301837556250909E-2</v>
      </c>
      <c r="J36" s="15"/>
      <c r="K36" s="5"/>
      <c r="L36" s="87"/>
      <c r="M36" s="54"/>
      <c r="N36" s="54"/>
      <c r="O36" s="54"/>
      <c r="P36" s="54"/>
      <c r="Q36" s="54"/>
      <c r="R36" s="54"/>
      <c r="S36" s="54"/>
      <c r="T36" s="54"/>
      <c r="U36" s="54"/>
      <c r="V36" s="54"/>
      <c r="W36" s="54"/>
      <c r="X36" s="54"/>
      <c r="Y36" s="88"/>
      <c r="Z36" s="77"/>
      <c r="AA36" s="77" t="s">
        <v>202</v>
      </c>
      <c r="AB36" s="77"/>
      <c r="AC36" s="77"/>
      <c r="AD36" s="77">
        <v>0.25</v>
      </c>
      <c r="AE36" s="77">
        <v>600</v>
      </c>
      <c r="AF36" s="77"/>
      <c r="AN36" s="330">
        <v>17.439843957751886</v>
      </c>
      <c r="AO36" s="217">
        <v>56.24075033419183</v>
      </c>
      <c r="AP36" s="217">
        <v>56.24075033419183</v>
      </c>
    </row>
    <row r="37" spans="1:44" ht="13.5" customHeight="1" x14ac:dyDescent="0.2">
      <c r="A37" s="5"/>
      <c r="B37" s="59"/>
      <c r="C37" s="57"/>
      <c r="D37" s="57"/>
      <c r="E37" s="13"/>
      <c r="F37" s="57"/>
      <c r="G37" s="57" t="s">
        <v>42</v>
      </c>
      <c r="H37" s="57"/>
      <c r="I37" s="20">
        <f>IF(D36="","",IF(D36="N/A","N/A",IF((D27+I21+I22)/(Stefan_Boltzmann_Constants*4*PI()*(D21/2)^2*(273+D30)^4-I18*PI()*(D21/2)^2*(SIN(D17*PI()/180))^2)&gt;0.925,0.925,(D27+I21+I22)/(Stefan_Boltzmann_Constants*4*PI()*(D21/2)^2*(273+D30)^4-I18*PI()*(D21/2)^2*(SIN(D17*PI()/180))^2))))</f>
        <v>0.92500000000000004</v>
      </c>
      <c r="J37" s="15"/>
      <c r="K37" s="5"/>
      <c r="L37" s="87"/>
      <c r="M37" s="54"/>
      <c r="N37" s="54"/>
      <c r="O37" s="54"/>
      <c r="P37" s="54"/>
      <c r="Q37" s="54"/>
      <c r="R37" s="54"/>
      <c r="S37" s="54"/>
      <c r="T37" s="54"/>
      <c r="U37" s="54"/>
      <c r="V37" s="54"/>
      <c r="W37" s="54"/>
      <c r="X37" s="54"/>
      <c r="Y37" s="88"/>
      <c r="Z37" s="77"/>
      <c r="AA37" s="77"/>
      <c r="AB37" s="77"/>
      <c r="AC37" s="77"/>
      <c r="AD37" s="77"/>
      <c r="AE37" s="77"/>
      <c r="AF37" s="77"/>
      <c r="AG37" s="10"/>
      <c r="AH37" s="10"/>
      <c r="AI37" s="10"/>
      <c r="AJ37" s="10"/>
      <c r="AK37" s="10"/>
      <c r="AL37" s="10"/>
      <c r="AM37" s="10"/>
      <c r="AN37" s="330">
        <v>18.047478539885127</v>
      </c>
      <c r="AO37" s="217">
        <v>55.400632199130655</v>
      </c>
      <c r="AP37" s="217">
        <v>55.400632199130655</v>
      </c>
      <c r="AQ37" s="10"/>
      <c r="AR37" s="10"/>
    </row>
    <row r="38" spans="1:44" ht="13.5" customHeight="1" thickBot="1" x14ac:dyDescent="0.25">
      <c r="A38" s="5"/>
      <c r="B38" s="60"/>
      <c r="C38" s="61"/>
      <c r="D38" s="61"/>
      <c r="E38" s="17"/>
      <c r="F38" s="61"/>
      <c r="G38" s="61"/>
      <c r="H38" s="61"/>
      <c r="I38" s="61"/>
      <c r="J38" s="18"/>
      <c r="K38" s="5"/>
      <c r="L38" s="87"/>
      <c r="M38" s="54"/>
      <c r="N38" s="54"/>
      <c r="O38" s="54"/>
      <c r="P38" s="54"/>
      <c r="Q38" s="54"/>
      <c r="R38" s="54"/>
      <c r="S38" s="54"/>
      <c r="T38" s="54"/>
      <c r="U38" s="54"/>
      <c r="V38" s="54"/>
      <c r="W38" s="54"/>
      <c r="X38" s="54"/>
      <c r="Y38" s="88"/>
      <c r="Z38" s="77"/>
      <c r="AA38" s="77"/>
      <c r="AB38" s="77"/>
      <c r="AC38" s="77"/>
      <c r="AD38" s="77"/>
      <c r="AE38" s="77"/>
      <c r="AF38" s="77"/>
      <c r="AG38" s="10"/>
      <c r="AH38" s="10"/>
      <c r="AI38" s="10"/>
      <c r="AJ38" s="10"/>
      <c r="AK38" s="10"/>
      <c r="AL38" s="10"/>
      <c r="AM38" s="10"/>
      <c r="AN38" s="330">
        <v>18.66137252308776</v>
      </c>
      <c r="AO38" s="217">
        <v>54.560514064069423</v>
      </c>
      <c r="AP38" s="217">
        <v>54.560514064069423</v>
      </c>
      <c r="AQ38" s="10"/>
      <c r="AR38" s="10"/>
    </row>
    <row r="39" spans="1:44" ht="13.5" customHeight="1" thickTop="1" thickBot="1" x14ac:dyDescent="0.25">
      <c r="A39" s="5"/>
      <c r="B39" s="52"/>
      <c r="C39" s="52"/>
      <c r="D39" s="52"/>
      <c r="E39" s="9"/>
      <c r="F39" s="52"/>
      <c r="G39" s="52"/>
      <c r="H39" s="52"/>
      <c r="I39" s="52"/>
      <c r="J39" s="9"/>
      <c r="K39" s="5"/>
      <c r="L39" s="87"/>
      <c r="M39" s="54"/>
      <c r="N39" s="54"/>
      <c r="O39" s="54"/>
      <c r="P39" s="54"/>
      <c r="Q39" s="54"/>
      <c r="R39" s="54"/>
      <c r="S39" s="54"/>
      <c r="T39" s="54"/>
      <c r="U39" s="54"/>
      <c r="V39" s="54"/>
      <c r="W39" s="54"/>
      <c r="X39" s="54"/>
      <c r="Y39" s="88"/>
      <c r="Z39" s="76"/>
      <c r="AA39" s="76"/>
      <c r="AB39" s="76"/>
      <c r="AC39" s="76"/>
      <c r="AD39" s="76"/>
      <c r="AE39" s="76"/>
      <c r="AG39" s="10"/>
      <c r="AH39" s="10"/>
      <c r="AI39" s="10"/>
      <c r="AJ39" s="10"/>
      <c r="AK39" s="10"/>
      <c r="AL39" s="10"/>
      <c r="AM39" s="10"/>
      <c r="AN39" s="330">
        <v>19.281606815225341</v>
      </c>
      <c r="AO39" s="217">
        <v>53.720395929008248</v>
      </c>
      <c r="AP39" s="217">
        <v>53.720395929008248</v>
      </c>
      <c r="AQ39" s="10"/>
      <c r="AR39" s="10"/>
    </row>
    <row r="40" spans="1:44" ht="13.5" customHeight="1" thickTop="1" x14ac:dyDescent="0.2">
      <c r="A40" s="5"/>
      <c r="B40" s="350" t="s">
        <v>163</v>
      </c>
      <c r="C40" s="351"/>
      <c r="D40" s="351"/>
      <c r="E40" s="351"/>
      <c r="F40" s="351"/>
      <c r="G40" s="351"/>
      <c r="H40" s="351"/>
      <c r="I40" s="351"/>
      <c r="J40" s="352"/>
      <c r="K40" s="5"/>
      <c r="L40" s="87"/>
      <c r="M40" s="54"/>
      <c r="N40" s="54"/>
      <c r="O40" s="54"/>
      <c r="P40" s="54"/>
      <c r="Q40" s="54"/>
      <c r="R40" s="54"/>
      <c r="S40" s="54"/>
      <c r="T40" s="54"/>
      <c r="U40" s="54"/>
      <c r="V40" s="54"/>
      <c r="W40" s="54"/>
      <c r="X40" s="54"/>
      <c r="Y40" s="88"/>
      <c r="Z40" s="78"/>
      <c r="AA40" s="78"/>
      <c r="AB40" s="78"/>
      <c r="AC40" s="78"/>
      <c r="AD40" s="78"/>
      <c r="AE40" s="78"/>
      <c r="AF40" s="11"/>
      <c r="AG40" s="10"/>
      <c r="AH40" s="10"/>
      <c r="AI40" s="10"/>
      <c r="AJ40" s="10"/>
      <c r="AK40" s="10"/>
      <c r="AL40" s="10"/>
      <c r="AM40" s="10"/>
      <c r="AN40" s="330">
        <v>19.908263584412488</v>
      </c>
      <c r="AO40" s="217">
        <v>52.880277793947073</v>
      </c>
      <c r="AP40" s="217">
        <v>52.880277793947073</v>
      </c>
      <c r="AQ40" s="10"/>
      <c r="AR40" s="10"/>
    </row>
    <row r="41" spans="1:44" ht="13.5" customHeight="1" x14ac:dyDescent="0.2">
      <c r="A41" s="5"/>
      <c r="B41" s="62"/>
      <c r="C41" s="63"/>
      <c r="D41" s="63"/>
      <c r="E41" s="63"/>
      <c r="F41" s="63"/>
      <c r="G41" s="63"/>
      <c r="H41" s="63"/>
      <c r="I41" s="63"/>
      <c r="J41" s="64"/>
      <c r="K41" s="5"/>
      <c r="L41" s="87"/>
      <c r="M41" s="54"/>
      <c r="N41" s="54"/>
      <c r="O41" s="54"/>
      <c r="P41" s="54"/>
      <c r="Q41" s="54"/>
      <c r="R41" s="54"/>
      <c r="S41" s="54"/>
      <c r="T41" s="54"/>
      <c r="U41" s="54"/>
      <c r="V41" s="54"/>
      <c r="W41" s="54"/>
      <c r="X41" s="54"/>
      <c r="Y41" s="88"/>
      <c r="Z41" s="78"/>
      <c r="AA41" s="78"/>
      <c r="AB41" s="78"/>
      <c r="AC41" s="78"/>
      <c r="AD41" s="78"/>
      <c r="AE41" s="78"/>
      <c r="AF41" s="11"/>
      <c r="AG41" s="10"/>
      <c r="AH41" s="10"/>
      <c r="AI41" s="10"/>
      <c r="AJ41" s="10"/>
      <c r="AK41" s="10"/>
      <c r="AL41" s="10"/>
      <c r="AM41" s="10"/>
      <c r="AN41" s="330">
        <v>20.541426282022307</v>
      </c>
      <c r="AO41" s="217">
        <v>52.040159658885841</v>
      </c>
      <c r="AP41" s="217">
        <v>52.040159658885841</v>
      </c>
      <c r="AQ41" s="10"/>
      <c r="AR41" s="10"/>
    </row>
    <row r="42" spans="1:44" ht="13.5" customHeight="1" x14ac:dyDescent="0.2">
      <c r="A42" s="5"/>
      <c r="B42" s="59" t="s">
        <v>43</v>
      </c>
      <c r="C42" s="57"/>
      <c r="D42" s="12">
        <f>IF(D27&lt;&gt;"",D27/D25/Stefan_Boltzmann_Constants/(D30+273)^4,"")</f>
        <v>7.5370546687791445E-2</v>
      </c>
      <c r="E42" s="13" t="s">
        <v>23</v>
      </c>
      <c r="F42" s="57"/>
      <c r="G42" s="57" t="s">
        <v>44</v>
      </c>
      <c r="H42" s="72"/>
      <c r="I42" s="14">
        <f>IF(OR(H42&lt;&gt;"",D9&lt;&gt;""),IF(H42&lt;&gt;"",H42,D9),IF(D16&lt;&gt;"",2*PI()*SQRT((D16+Planet_Radius)^3/Planet_Mu)/60*2*D17/360,""))</f>
        <v>38.4</v>
      </c>
      <c r="J42" s="15" t="s">
        <v>45</v>
      </c>
      <c r="K42" s="5"/>
      <c r="L42" s="87"/>
      <c r="M42" s="54"/>
      <c r="N42" s="54"/>
      <c r="O42" s="54"/>
      <c r="P42" s="54"/>
      <c r="Q42" s="54"/>
      <c r="R42" s="54"/>
      <c r="S42" s="54"/>
      <c r="T42" s="54"/>
      <c r="U42" s="54"/>
      <c r="V42" s="54"/>
      <c r="W42" s="54"/>
      <c r="X42" s="54"/>
      <c r="Y42" s="88"/>
      <c r="Z42" s="78"/>
      <c r="AA42" s="78"/>
      <c r="AB42" s="78"/>
      <c r="AC42" s="78"/>
      <c r="AD42" s="78"/>
      <c r="AE42" s="78"/>
      <c r="AF42" s="11"/>
      <c r="AG42" s="10"/>
      <c r="AH42" s="10"/>
      <c r="AI42" s="10"/>
      <c r="AJ42" s="10"/>
      <c r="AK42" s="10"/>
      <c r="AL42" s="10"/>
      <c r="AM42" s="10"/>
      <c r="AN42" s="330">
        <v>21.181179666178402</v>
      </c>
      <c r="AO42" s="217">
        <v>51.200041523824666</v>
      </c>
      <c r="AP42" s="217">
        <v>51.200041523824666</v>
      </c>
      <c r="AQ42" s="10"/>
      <c r="AR42" s="10"/>
    </row>
    <row r="43" spans="1:44" ht="13.5" customHeight="1" x14ac:dyDescent="0.2">
      <c r="A43" s="5"/>
      <c r="B43" s="59" t="s">
        <v>46</v>
      </c>
      <c r="C43" s="57"/>
      <c r="D43" s="14">
        <f>IF(AND(D28&lt;&gt;"",D42&lt;&gt;""),IF(D42=0,0,(D28/D25/D42/Stefan_Boltzmann_Constants)^0.25-273),"")</f>
        <v>34.999999999999886</v>
      </c>
      <c r="E43" s="13" t="s">
        <v>35</v>
      </c>
      <c r="F43" s="57"/>
      <c r="G43" s="57" t="s">
        <v>47</v>
      </c>
      <c r="H43" s="72"/>
      <c r="I43" s="16">
        <f>IF(H43&lt;&gt;"",H43,IF(I42&lt;&gt;"",I42/(2*PI()*SQRT((D16+Planet_Mu)^3/Planet_Mu)/60),""))</f>
        <v>7.2572774838568291E-2</v>
      </c>
      <c r="J43" s="15"/>
      <c r="K43" s="5"/>
      <c r="L43" s="87"/>
      <c r="M43" s="54"/>
      <c r="N43" s="54"/>
      <c r="O43" s="54"/>
      <c r="P43" s="54"/>
      <c r="Q43" s="54"/>
      <c r="R43" s="54"/>
      <c r="S43" s="54"/>
      <c r="T43" s="54"/>
      <c r="U43" s="54"/>
      <c r="V43" s="54"/>
      <c r="W43" s="54"/>
      <c r="X43" s="54"/>
      <c r="Y43" s="88"/>
      <c r="Z43" s="78"/>
      <c r="AA43" s="78"/>
      <c r="AB43" s="78"/>
      <c r="AC43" s="78"/>
      <c r="AD43" s="78"/>
      <c r="AE43" s="78"/>
      <c r="AF43" s="11"/>
      <c r="AG43" s="10"/>
      <c r="AH43" s="10"/>
      <c r="AI43" s="10"/>
      <c r="AJ43" s="10"/>
      <c r="AK43" s="10"/>
      <c r="AL43" s="10"/>
      <c r="AM43" s="10"/>
      <c r="AN43" s="330">
        <v>21.827609825741298</v>
      </c>
      <c r="AO43" s="217">
        <v>50.359923388763434</v>
      </c>
      <c r="AP43" s="217">
        <v>50.359923388763434</v>
      </c>
      <c r="AQ43" s="10"/>
      <c r="AR43" s="10"/>
    </row>
    <row r="44" spans="1:44" ht="13.5" customHeight="1" x14ac:dyDescent="0.2">
      <c r="A44" s="5"/>
      <c r="B44" s="59" t="s">
        <v>48</v>
      </c>
      <c r="C44" s="57"/>
      <c r="D44" s="14">
        <f>IF(AND(D28&lt;&gt;"",D42&lt;&gt;"",D43&lt;&gt;""),IF(D43&gt;D31,0,D25*D42*Stefan_Boltzmann_Constants*(D31+273)^4-D28),"")</f>
        <v>0</v>
      </c>
      <c r="E44" s="13" t="s">
        <v>27</v>
      </c>
      <c r="F44" s="57"/>
      <c r="G44" s="57" t="s">
        <v>49</v>
      </c>
      <c r="H44" s="57"/>
      <c r="I44" s="14">
        <f>IF(AND(D44&lt;&gt;"",I43&lt;&gt;""),D44*I43,"")</f>
        <v>0</v>
      </c>
      <c r="J44" s="15" t="s">
        <v>27</v>
      </c>
      <c r="K44" s="5"/>
      <c r="L44" s="87"/>
      <c r="M44" s="54"/>
      <c r="N44" s="54"/>
      <c r="O44" s="54"/>
      <c r="P44" s="54"/>
      <c r="Q44" s="54"/>
      <c r="R44" s="54"/>
      <c r="S44" s="54"/>
      <c r="T44" s="54"/>
      <c r="U44" s="54"/>
      <c r="V44" s="54"/>
      <c r="W44" s="54"/>
      <c r="X44" s="54"/>
      <c r="Y44" s="88"/>
      <c r="Z44" s="78"/>
      <c r="AA44" s="78"/>
      <c r="AB44" s="78"/>
      <c r="AC44" s="78"/>
      <c r="AD44" s="78"/>
      <c r="AE44" s="78"/>
      <c r="AF44" s="11"/>
      <c r="AG44" s="10"/>
      <c r="AH44" s="10"/>
      <c r="AI44" s="10"/>
      <c r="AJ44" s="10"/>
      <c r="AK44" s="10"/>
      <c r="AL44" s="10"/>
      <c r="AM44" s="10"/>
      <c r="AN44" s="330">
        <v>22.480804204800197</v>
      </c>
      <c r="AO44" s="217">
        <v>49.519805253702259</v>
      </c>
      <c r="AP44" s="217">
        <v>49.519805253702259</v>
      </c>
      <c r="AQ44" s="10"/>
      <c r="AR44" s="10"/>
    </row>
    <row r="45" spans="1:44" ht="13.5" customHeight="1" x14ac:dyDescent="0.2">
      <c r="A45" s="5"/>
      <c r="B45" s="59"/>
      <c r="C45" s="57"/>
      <c r="D45" s="14"/>
      <c r="E45" s="13"/>
      <c r="F45" s="57"/>
      <c r="G45" s="57"/>
      <c r="H45" s="57"/>
      <c r="I45" s="14"/>
      <c r="J45" s="15"/>
      <c r="K45" s="5"/>
      <c r="L45" s="87"/>
      <c r="M45" s="54"/>
      <c r="N45" s="54"/>
      <c r="O45" s="54"/>
      <c r="P45" s="54"/>
      <c r="Q45" s="54"/>
      <c r="R45" s="54"/>
      <c r="S45" s="54"/>
      <c r="T45" s="54"/>
      <c r="U45" s="54"/>
      <c r="V45" s="54"/>
      <c r="W45" s="54"/>
      <c r="X45" s="54"/>
      <c r="Y45" s="88"/>
      <c r="Z45" s="78"/>
      <c r="AA45" s="78"/>
      <c r="AB45" s="78"/>
      <c r="AC45" s="78"/>
      <c r="AD45" s="78"/>
      <c r="AE45" s="78"/>
      <c r="AF45" s="11"/>
      <c r="AG45" s="10"/>
      <c r="AH45" s="10"/>
      <c r="AI45" s="10"/>
      <c r="AJ45" s="10"/>
      <c r="AK45" s="10"/>
      <c r="AL45" s="10"/>
      <c r="AM45" s="10"/>
      <c r="AN45" s="330">
        <v>23.140851627683226</v>
      </c>
      <c r="AO45" s="217">
        <v>48.679687118641027</v>
      </c>
      <c r="AP45" s="217">
        <v>48.679687118641027</v>
      </c>
      <c r="AQ45" s="10"/>
      <c r="AR45" s="10"/>
    </row>
    <row r="46" spans="1:44" ht="13.5" customHeight="1" x14ac:dyDescent="0.2">
      <c r="A46" s="5"/>
      <c r="B46" s="356" t="s">
        <v>166</v>
      </c>
      <c r="C46" s="357"/>
      <c r="D46" s="357"/>
      <c r="E46" s="357"/>
      <c r="F46" s="357"/>
      <c r="G46" s="357"/>
      <c r="H46" s="357"/>
      <c r="I46" s="357"/>
      <c r="J46" s="358"/>
      <c r="K46" s="5"/>
      <c r="L46" s="87"/>
      <c r="M46" s="54"/>
      <c r="N46" s="54"/>
      <c r="O46" s="54"/>
      <c r="P46" s="54"/>
      <c r="Q46" s="54"/>
      <c r="R46" s="54"/>
      <c r="S46" s="54"/>
      <c r="T46" s="54"/>
      <c r="U46" s="54"/>
      <c r="V46" s="54"/>
      <c r="W46" s="54"/>
      <c r="X46" s="54"/>
      <c r="Y46" s="88"/>
      <c r="Z46" s="78"/>
      <c r="AA46" s="78"/>
      <c r="AB46" s="78"/>
      <c r="AC46" s="78"/>
      <c r="AD46" s="78"/>
      <c r="AE46" s="78"/>
      <c r="AF46" s="11"/>
      <c r="AG46" s="10"/>
      <c r="AH46" s="10"/>
      <c r="AI46" s="10"/>
      <c r="AJ46" s="10"/>
      <c r="AK46" s="10"/>
      <c r="AL46" s="10"/>
      <c r="AM46" s="10"/>
      <c r="AN46" s="330">
        <v>23.807842324497472</v>
      </c>
      <c r="AO46" s="217">
        <v>47.839568983579852</v>
      </c>
      <c r="AP46" s="217">
        <v>47.839568983579852</v>
      </c>
      <c r="AQ46" s="10"/>
      <c r="AR46" s="10"/>
    </row>
    <row r="47" spans="1:44" ht="13.5" customHeight="1" x14ac:dyDescent="0.2">
      <c r="A47" s="5"/>
      <c r="B47" s="50" t="s">
        <v>167</v>
      </c>
      <c r="C47" s="51" t="s">
        <v>168</v>
      </c>
      <c r="D47" s="47">
        <f>D44</f>
        <v>0</v>
      </c>
      <c r="E47" s="48" t="s">
        <v>27</v>
      </c>
      <c r="F47" s="51"/>
      <c r="G47" s="51" t="s">
        <v>169</v>
      </c>
      <c r="H47" s="51" t="s">
        <v>170</v>
      </c>
      <c r="I47" s="47">
        <f>I44</f>
        <v>0</v>
      </c>
      <c r="J47" s="49" t="s">
        <v>27</v>
      </c>
      <c r="K47" s="5"/>
      <c r="L47" s="87"/>
      <c r="M47" s="54"/>
      <c r="N47" s="54"/>
      <c r="O47" s="54"/>
      <c r="P47" s="54"/>
      <c r="Q47" s="54"/>
      <c r="R47" s="54"/>
      <c r="S47" s="54"/>
      <c r="T47" s="54"/>
      <c r="U47" s="54"/>
      <c r="V47" s="54"/>
      <c r="W47" s="54"/>
      <c r="X47" s="54"/>
      <c r="Y47" s="88"/>
      <c r="Z47" s="78"/>
      <c r="AA47" s="78"/>
      <c r="AB47" s="78"/>
      <c r="AC47" s="78"/>
      <c r="AD47" s="78"/>
      <c r="AE47" s="78"/>
      <c r="AF47" s="11"/>
      <c r="AG47" s="10"/>
      <c r="AH47" s="10"/>
      <c r="AI47" s="10"/>
      <c r="AJ47" s="10"/>
      <c r="AK47" s="10"/>
      <c r="AL47" s="10"/>
      <c r="AM47" s="10"/>
      <c r="AN47" s="330">
        <v>24.481867957212526</v>
      </c>
      <c r="AO47" s="217">
        <v>46.99945084851862</v>
      </c>
      <c r="AP47" s="217">
        <v>46.99945084851862</v>
      </c>
      <c r="AQ47" s="10"/>
      <c r="AR47" s="10"/>
    </row>
    <row r="48" spans="1:44" ht="13.5" customHeight="1" thickBot="1" x14ac:dyDescent="0.25">
      <c r="A48" s="5"/>
      <c r="B48" s="219" t="s">
        <v>353</v>
      </c>
      <c r="C48" s="220"/>
      <c r="D48" s="222"/>
      <c r="E48" s="223" t="s">
        <v>190</v>
      </c>
      <c r="F48" s="220"/>
      <c r="G48" s="220"/>
      <c r="H48" s="220"/>
      <c r="I48" s="220"/>
      <c r="J48" s="221"/>
      <c r="K48" s="5"/>
      <c r="L48" s="87"/>
      <c r="M48" s="54"/>
      <c r="N48" s="54"/>
      <c r="O48" s="54"/>
      <c r="P48" s="54"/>
      <c r="Q48" s="54"/>
      <c r="R48" s="54"/>
      <c r="S48" s="54"/>
      <c r="T48" s="54"/>
      <c r="U48" s="54"/>
      <c r="V48" s="54"/>
      <c r="W48" s="54"/>
      <c r="X48" s="54"/>
      <c r="Y48" s="88"/>
      <c r="Z48" s="78"/>
      <c r="AA48" s="78"/>
      <c r="AB48" s="78"/>
      <c r="AC48" s="78"/>
      <c r="AD48" s="78"/>
      <c r="AE48" s="78"/>
      <c r="AF48" s="11"/>
      <c r="AG48" s="10"/>
      <c r="AH48" s="10"/>
      <c r="AI48" s="10"/>
      <c r="AJ48" s="10"/>
      <c r="AK48" s="10"/>
      <c r="AL48" s="10"/>
      <c r="AM48" s="10"/>
      <c r="AN48" s="330">
        <v>25.163021646299651</v>
      </c>
      <c r="AO48" s="217">
        <v>46.159332713457445</v>
      </c>
      <c r="AP48" s="217">
        <v>46.159332713457445</v>
      </c>
      <c r="AQ48" s="10"/>
      <c r="AR48" s="10"/>
    </row>
    <row r="49" spans="1:44" ht="13.5" customHeight="1" thickTop="1" x14ac:dyDescent="0.2">
      <c r="A49" s="5"/>
      <c r="B49" s="52"/>
      <c r="C49" s="52"/>
      <c r="D49" s="52"/>
      <c r="E49" s="9"/>
      <c r="F49" s="52"/>
      <c r="G49" s="52"/>
      <c r="H49" s="52"/>
      <c r="I49" s="52"/>
      <c r="J49" s="9"/>
      <c r="K49" s="5"/>
      <c r="L49" s="87"/>
      <c r="M49" s="54"/>
      <c r="N49" s="54"/>
      <c r="O49" s="54"/>
      <c r="P49" s="54"/>
      <c r="Q49" s="54"/>
      <c r="R49" s="54"/>
      <c r="S49" s="54"/>
      <c r="T49" s="54"/>
      <c r="U49" s="54"/>
      <c r="V49" s="54"/>
      <c r="W49" s="54"/>
      <c r="X49" s="54"/>
      <c r="Y49" s="88"/>
      <c r="Z49" s="78"/>
      <c r="AA49" s="78"/>
      <c r="AB49" s="78"/>
      <c r="AC49" s="78"/>
      <c r="AD49" s="78"/>
      <c r="AE49" s="78"/>
      <c r="AF49" s="11"/>
      <c r="AG49" s="10"/>
      <c r="AH49" s="10"/>
      <c r="AI49" s="10"/>
      <c r="AJ49" s="10"/>
      <c r="AK49" s="10"/>
      <c r="AL49" s="10"/>
      <c r="AM49" s="10"/>
      <c r="AN49" s="330">
        <v>25.851397997940943</v>
      </c>
      <c r="AO49" s="217">
        <v>45.31921457839627</v>
      </c>
      <c r="AP49" s="217">
        <v>45.31921457839627</v>
      </c>
      <c r="AQ49" s="10"/>
      <c r="AR49" s="10"/>
    </row>
    <row r="50" spans="1:44" ht="13.5" customHeight="1" x14ac:dyDescent="0.2">
      <c r="A50" s="5"/>
      <c r="B50" s="52"/>
      <c r="C50" s="52"/>
      <c r="D50" s="52"/>
      <c r="E50" s="9"/>
      <c r="F50" s="52"/>
      <c r="G50" s="52"/>
      <c r="H50" s="52"/>
      <c r="I50" s="52"/>
      <c r="J50" s="9"/>
      <c r="K50" s="5"/>
      <c r="L50" s="87"/>
      <c r="M50" s="54"/>
      <c r="N50" s="54"/>
      <c r="O50" s="54"/>
      <c r="P50" s="54"/>
      <c r="Q50" s="54"/>
      <c r="R50" s="54"/>
      <c r="S50" s="54"/>
      <c r="T50" s="54"/>
      <c r="U50" s="54"/>
      <c r="V50" s="54"/>
      <c r="W50" s="54"/>
      <c r="X50" s="54"/>
      <c r="Y50" s="88"/>
      <c r="Z50" s="79" t="s">
        <v>157</v>
      </c>
      <c r="AA50" s="79"/>
      <c r="AB50" s="78"/>
      <c r="AC50" s="78"/>
      <c r="AD50" s="78"/>
      <c r="AE50" s="78"/>
      <c r="AF50" s="11"/>
      <c r="AG50" s="10"/>
      <c r="AH50" s="10"/>
      <c r="AI50" s="10"/>
      <c r="AJ50" s="10"/>
      <c r="AK50" s="10"/>
      <c r="AL50" s="10"/>
      <c r="AM50" s="10"/>
      <c r="AN50" s="330">
        <v>26.547093131821587</v>
      </c>
      <c r="AO50" s="217">
        <v>44.479096443335038</v>
      </c>
      <c r="AP50" s="217">
        <v>44.479096443335038</v>
      </c>
      <c r="AQ50" s="10"/>
      <c r="AR50" s="10"/>
    </row>
    <row r="51" spans="1:44" ht="13.5" customHeight="1" x14ac:dyDescent="0.2">
      <c r="A51" s="5"/>
      <c r="B51" s="52"/>
      <c r="C51" s="52"/>
      <c r="D51" s="52"/>
      <c r="E51" s="9"/>
      <c r="F51" s="52"/>
      <c r="G51" s="52"/>
      <c r="H51" s="52"/>
      <c r="I51" s="52"/>
      <c r="J51" s="9"/>
      <c r="K51" s="5"/>
      <c r="L51" s="87"/>
      <c r="M51" s="54"/>
      <c r="N51" s="54"/>
      <c r="O51" s="54"/>
      <c r="P51" s="54"/>
      <c r="Q51" s="54"/>
      <c r="R51" s="54"/>
      <c r="S51" s="54"/>
      <c r="T51" s="54"/>
      <c r="U51" s="54"/>
      <c r="V51" s="54"/>
      <c r="W51" s="54"/>
      <c r="X51" s="54"/>
      <c r="Y51" s="88"/>
      <c r="Z51" s="80">
        <v>0</v>
      </c>
      <c r="AA51" s="79"/>
      <c r="AB51" s="78"/>
      <c r="AC51" s="78"/>
      <c r="AD51" s="78"/>
      <c r="AE51" s="78"/>
      <c r="AF51" s="11"/>
      <c r="AG51" s="10"/>
      <c r="AH51" s="10"/>
      <c r="AI51" s="10"/>
      <c r="AJ51" s="10"/>
      <c r="AK51" s="10"/>
      <c r="AL51" s="10"/>
      <c r="AM51" s="10"/>
      <c r="AN51" s="330">
        <v>27.250204709519359</v>
      </c>
      <c r="AO51" s="217">
        <v>43.638978308273863</v>
      </c>
      <c r="AP51" s="217">
        <v>43.638978308273863</v>
      </c>
      <c r="AQ51" s="10"/>
      <c r="AR51" s="10"/>
    </row>
    <row r="52" spans="1:44" ht="13.5" customHeight="1" x14ac:dyDescent="0.2">
      <c r="A52" s="5"/>
      <c r="B52" s="52"/>
      <c r="C52" s="52"/>
      <c r="D52" s="52"/>
      <c r="E52" s="9"/>
      <c r="F52" s="52"/>
      <c r="G52" s="52"/>
      <c r="H52" s="52"/>
      <c r="I52" s="52"/>
      <c r="J52" s="9"/>
      <c r="K52" s="5"/>
      <c r="L52" s="87"/>
      <c r="M52" s="54"/>
      <c r="N52" s="54"/>
      <c r="O52" s="54"/>
      <c r="P52" s="54"/>
      <c r="Q52" s="54"/>
      <c r="R52" s="54"/>
      <c r="S52" s="54"/>
      <c r="T52" s="54"/>
      <c r="U52" s="54"/>
      <c r="V52" s="54"/>
      <c r="W52" s="54"/>
      <c r="X52" s="54"/>
      <c r="Y52" s="88"/>
      <c r="AB52" s="78"/>
      <c r="AC52" s="78"/>
      <c r="AD52" s="78"/>
      <c r="AE52" s="78"/>
      <c r="AF52" s="11"/>
      <c r="AG52" s="10"/>
      <c r="AH52" s="10"/>
      <c r="AI52" s="10"/>
      <c r="AJ52" s="10"/>
      <c r="AK52" s="10"/>
      <c r="AL52" s="10"/>
      <c r="AM52" s="10"/>
      <c r="AN52" s="330">
        <v>27.960831963506671</v>
      </c>
      <c r="AO52" s="217">
        <v>42.798860173212631</v>
      </c>
      <c r="AP52" s="217">
        <v>42.798860173212631</v>
      </c>
      <c r="AQ52" s="10"/>
      <c r="AR52" s="10"/>
    </row>
    <row r="53" spans="1:44" ht="13.5" customHeight="1" x14ac:dyDescent="0.2">
      <c r="A53" s="5"/>
      <c r="B53" s="52"/>
      <c r="C53" s="52"/>
      <c r="D53" s="52"/>
      <c r="E53" s="9"/>
      <c r="F53" s="52"/>
      <c r="G53" s="52"/>
      <c r="H53" s="52"/>
      <c r="I53" s="52"/>
      <c r="J53" s="9"/>
      <c r="K53" s="52"/>
      <c r="L53" s="87"/>
      <c r="M53" s="54"/>
      <c r="N53" s="54"/>
      <c r="O53" s="54"/>
      <c r="P53" s="54"/>
      <c r="Q53" s="54"/>
      <c r="R53" s="54"/>
      <c r="S53" s="54"/>
      <c r="T53" s="54"/>
      <c r="U53" s="54"/>
      <c r="V53" s="54"/>
      <c r="W53" s="54"/>
      <c r="X53" s="54"/>
      <c r="Y53" s="88"/>
      <c r="Z53" s="76"/>
      <c r="AA53" s="76"/>
      <c r="AB53" s="78"/>
      <c r="AC53" s="78"/>
      <c r="AD53" s="78"/>
      <c r="AE53" s="78"/>
      <c r="AF53" s="11"/>
      <c r="AG53" s="10"/>
      <c r="AH53" s="10"/>
      <c r="AI53" s="10"/>
      <c r="AJ53" s="10"/>
      <c r="AK53" s="10"/>
      <c r="AL53" s="10"/>
      <c r="AM53" s="10"/>
      <c r="AN53" s="330">
        <v>28.679075726778862</v>
      </c>
      <c r="AO53" s="217">
        <v>41.958742038151456</v>
      </c>
      <c r="AP53" s="217">
        <v>41.958742038151456</v>
      </c>
      <c r="AQ53" s="10"/>
      <c r="AR53" s="10"/>
    </row>
    <row r="54" spans="1:44" x14ac:dyDescent="0.2">
      <c r="A54" s="5"/>
      <c r="B54" s="52"/>
      <c r="C54" s="52"/>
      <c r="D54" s="52"/>
      <c r="E54" s="9"/>
      <c r="F54" s="52"/>
      <c r="G54" s="52"/>
      <c r="H54" s="52"/>
      <c r="I54" s="52"/>
      <c r="J54" s="9"/>
      <c r="K54" s="5"/>
      <c r="L54" s="87"/>
      <c r="M54" s="54"/>
      <c r="N54" s="54"/>
      <c r="O54" s="54"/>
      <c r="P54" s="54"/>
      <c r="Q54" s="54"/>
      <c r="R54" s="54"/>
      <c r="S54" s="54"/>
      <c r="T54" s="54"/>
      <c r="U54" s="54"/>
      <c r="V54" s="54"/>
      <c r="W54" s="54"/>
      <c r="X54" s="54"/>
      <c r="Y54" s="88"/>
      <c r="Z54" s="76"/>
      <c r="AA54" s="76"/>
      <c r="AB54" s="78"/>
      <c r="AC54" s="78"/>
      <c r="AD54" s="78"/>
      <c r="AE54" s="78"/>
      <c r="AF54" s="11"/>
      <c r="AG54" s="10"/>
      <c r="AH54" s="10"/>
      <c r="AI54" s="10"/>
      <c r="AJ54" s="10"/>
      <c r="AK54" s="10"/>
      <c r="AL54" s="10"/>
      <c r="AM54" s="10"/>
      <c r="AN54" s="330">
        <v>29.405038463125582</v>
      </c>
      <c r="AO54" s="217">
        <v>41.118623903090224</v>
      </c>
      <c r="AP54" s="217">
        <v>41.118623903090224</v>
      </c>
      <c r="AQ54" s="10"/>
      <c r="AR54" s="10"/>
    </row>
    <row r="55" spans="1:44" x14ac:dyDescent="0.2">
      <c r="A55" s="5"/>
      <c r="B55" s="52"/>
      <c r="C55" s="52"/>
      <c r="D55" s="52"/>
      <c r="E55" s="9"/>
      <c r="F55" s="52"/>
      <c r="G55" s="52"/>
      <c r="H55" s="52"/>
      <c r="I55" s="52"/>
      <c r="J55" s="9"/>
      <c r="K55" s="52"/>
      <c r="L55" s="87"/>
      <c r="M55" s="54"/>
      <c r="N55" s="54"/>
      <c r="O55" s="54"/>
      <c r="P55" s="54"/>
      <c r="Q55" s="54"/>
      <c r="R55" s="54"/>
      <c r="S55" s="54"/>
      <c r="T55" s="54"/>
      <c r="U55" s="54"/>
      <c r="V55" s="54"/>
      <c r="W55" s="54"/>
      <c r="X55" s="54"/>
      <c r="Y55" s="88"/>
      <c r="Z55" s="76"/>
      <c r="AA55" s="76"/>
      <c r="AB55" s="78"/>
      <c r="AC55" s="78"/>
      <c r="AD55" s="78"/>
      <c r="AE55" s="78"/>
      <c r="AF55" s="11"/>
      <c r="AG55" s="10"/>
      <c r="AH55" s="10"/>
      <c r="AI55" s="10"/>
      <c r="AJ55" s="10"/>
      <c r="AK55" s="10"/>
      <c r="AL55" s="10"/>
      <c r="AM55" s="10"/>
      <c r="AN55" s="330">
        <v>30.138824298059244</v>
      </c>
      <c r="AO55" s="217">
        <v>40.278505768029049</v>
      </c>
      <c r="AP55" s="217">
        <v>40.278505768029049</v>
      </c>
      <c r="AQ55" s="10"/>
      <c r="AR55" s="10"/>
    </row>
    <row r="56" spans="1:44" x14ac:dyDescent="0.2">
      <c r="A56" s="5"/>
      <c r="B56" s="52"/>
      <c r="C56" s="52"/>
      <c r="D56" s="52"/>
      <c r="E56" s="9"/>
      <c r="F56" s="52"/>
      <c r="G56" s="52"/>
      <c r="H56" s="52"/>
      <c r="I56" s="52"/>
      <c r="J56" s="9"/>
      <c r="K56" s="5"/>
      <c r="L56" s="87"/>
      <c r="M56" s="54"/>
      <c r="N56" s="54"/>
      <c r="O56" s="54"/>
      <c r="P56" s="54"/>
      <c r="Q56" s="54"/>
      <c r="R56" s="54"/>
      <c r="S56" s="54"/>
      <c r="T56" s="54"/>
      <c r="U56" s="54"/>
      <c r="V56" s="54"/>
      <c r="W56" s="54"/>
      <c r="X56" s="54"/>
      <c r="Y56" s="88"/>
      <c r="Z56" s="76"/>
      <c r="AA56" s="76"/>
      <c r="AB56" s="78"/>
      <c r="AC56" s="78"/>
      <c r="AD56" s="78"/>
      <c r="AE56" s="78"/>
      <c r="AF56" s="11"/>
      <c r="AG56" s="10"/>
      <c r="AH56" s="10"/>
      <c r="AI56" s="10"/>
      <c r="AJ56" s="10"/>
      <c r="AK56" s="10"/>
      <c r="AL56" s="10"/>
      <c r="AM56" s="10"/>
      <c r="AN56" s="330">
        <v>30.880539050418715</v>
      </c>
      <c r="AO56" s="217">
        <v>39.438387632967874</v>
      </c>
      <c r="AP56" s="217">
        <v>39.438387632967874</v>
      </c>
      <c r="AQ56" s="10"/>
      <c r="AR56" s="10"/>
    </row>
    <row r="57" spans="1:44" x14ac:dyDescent="0.2">
      <c r="A57" s="5"/>
      <c r="B57" s="52"/>
      <c r="C57" s="52"/>
      <c r="D57" s="52"/>
      <c r="E57" s="9"/>
      <c r="F57" s="52"/>
      <c r="G57" s="52"/>
      <c r="H57" s="52"/>
      <c r="I57" s="52"/>
      <c r="J57" s="9"/>
      <c r="K57" s="5"/>
      <c r="L57" s="87"/>
      <c r="M57" s="54"/>
      <c r="N57" s="54"/>
      <c r="O57" s="54"/>
      <c r="P57" s="54"/>
      <c r="Q57" s="54"/>
      <c r="R57" s="54"/>
      <c r="S57" s="54"/>
      <c r="T57" s="54"/>
      <c r="U57" s="54"/>
      <c r="V57" s="54"/>
      <c r="W57" s="54"/>
      <c r="X57" s="54"/>
      <c r="Y57" s="88"/>
      <c r="Z57" s="76"/>
      <c r="AA57" s="76"/>
      <c r="AB57" s="78"/>
      <c r="AC57" s="78"/>
      <c r="AD57" s="11"/>
      <c r="AE57" s="11"/>
      <c r="AF57" s="11"/>
      <c r="AG57" s="10"/>
      <c r="AH57" s="10"/>
      <c r="AI57" s="10"/>
      <c r="AJ57" s="10"/>
      <c r="AK57" s="10"/>
      <c r="AL57" s="10"/>
      <c r="AM57" s="10"/>
      <c r="AN57" s="330">
        <v>31.630290264663213</v>
      </c>
      <c r="AO57" s="217">
        <v>38.598269497906642</v>
      </c>
      <c r="AP57" s="217">
        <v>38.598269497906642</v>
      </c>
      <c r="AQ57" s="10"/>
      <c r="AR57" s="10"/>
    </row>
    <row r="58" spans="1:44" x14ac:dyDescent="0.2">
      <c r="A58" s="5"/>
      <c r="B58" s="52"/>
      <c r="C58" s="52"/>
      <c r="D58" s="52"/>
      <c r="E58" s="9"/>
      <c r="F58" s="52"/>
      <c r="G58" s="52"/>
      <c r="H58" s="52"/>
      <c r="I58" s="52"/>
      <c r="J58" s="9"/>
      <c r="K58" s="5"/>
      <c r="L58" s="87"/>
      <c r="M58" s="54"/>
      <c r="N58" s="54"/>
      <c r="O58" s="54"/>
      <c r="P58" s="54"/>
      <c r="Q58" s="54"/>
      <c r="R58" s="54"/>
      <c r="S58" s="54"/>
      <c r="T58" s="54"/>
      <c r="U58" s="54"/>
      <c r="V58" s="54"/>
      <c r="W58" s="54"/>
      <c r="X58" s="54"/>
      <c r="Y58" s="88"/>
      <c r="Z58" s="79"/>
      <c r="AA58" s="79"/>
      <c r="AB58" s="78"/>
      <c r="AC58" s="78"/>
      <c r="AD58" s="11"/>
      <c r="AE58" s="11"/>
      <c r="AF58" s="11"/>
      <c r="AG58" s="10"/>
      <c r="AH58" s="10"/>
      <c r="AI58" s="10"/>
      <c r="AJ58" s="10"/>
      <c r="AK58" s="10"/>
      <c r="AL58" s="10"/>
      <c r="AM58" s="10"/>
      <c r="AN58" s="330">
        <v>32.388187243874214</v>
      </c>
      <c r="AO58" s="217">
        <v>37.758151362845467</v>
      </c>
      <c r="AP58" s="217">
        <v>37.758151362845467</v>
      </c>
      <c r="AQ58" s="10"/>
      <c r="AR58" s="10"/>
    </row>
    <row r="59" spans="1:44" x14ac:dyDescent="0.2">
      <c r="A59" s="5"/>
      <c r="B59" s="52"/>
      <c r="C59" s="52"/>
      <c r="D59" s="52"/>
      <c r="E59" s="9"/>
      <c r="F59" s="52"/>
      <c r="G59" s="52"/>
      <c r="H59" s="52"/>
      <c r="I59" s="52"/>
      <c r="J59" s="9"/>
      <c r="K59" s="5"/>
      <c r="L59" s="87"/>
      <c r="M59" s="54"/>
      <c r="N59" s="54"/>
      <c r="O59" s="54"/>
      <c r="P59" s="54"/>
      <c r="Q59" s="54"/>
      <c r="R59" s="54"/>
      <c r="S59" s="54"/>
      <c r="T59" s="54"/>
      <c r="U59" s="54"/>
      <c r="V59" s="54"/>
      <c r="W59" s="54"/>
      <c r="X59" s="54"/>
      <c r="Y59" s="88"/>
      <c r="Z59" s="78"/>
      <c r="AA59" s="78"/>
      <c r="AB59" s="78"/>
      <c r="AC59" s="78"/>
      <c r="AD59" s="11"/>
      <c r="AE59" s="11"/>
      <c r="AF59" s="11"/>
      <c r="AG59" s="10"/>
      <c r="AH59" s="10"/>
      <c r="AI59" s="10"/>
      <c r="AJ59" s="10"/>
      <c r="AK59" s="10"/>
      <c r="AL59" s="10"/>
      <c r="AM59" s="10"/>
      <c r="AN59" s="330">
        <v>33.154341083483459</v>
      </c>
      <c r="AO59" s="217">
        <v>36.918033227784235</v>
      </c>
      <c r="AP59" s="217">
        <v>36.918033227784235</v>
      </c>
      <c r="AQ59" s="10"/>
      <c r="AR59" s="10"/>
    </row>
    <row r="60" spans="1:44" x14ac:dyDescent="0.2">
      <c r="A60" s="5"/>
      <c r="B60" s="52"/>
      <c r="C60" s="52"/>
      <c r="D60" s="52"/>
      <c r="E60" s="9"/>
      <c r="F60" s="52"/>
      <c r="G60" s="52"/>
      <c r="H60" s="52"/>
      <c r="I60" s="52"/>
      <c r="J60" s="9"/>
      <c r="K60" s="5"/>
      <c r="L60" s="87"/>
      <c r="M60" s="54"/>
      <c r="N60" s="54"/>
      <c r="O60" s="54"/>
      <c r="P60" s="54"/>
      <c r="Q60" s="54"/>
      <c r="R60" s="54"/>
      <c r="S60" s="54"/>
      <c r="T60" s="54"/>
      <c r="U60" s="54"/>
      <c r="V60" s="54"/>
      <c r="W60" s="54"/>
      <c r="X60" s="54"/>
      <c r="Y60" s="88"/>
      <c r="Z60" s="78"/>
      <c r="AA60" s="78"/>
      <c r="AB60" s="78"/>
      <c r="AC60" s="78"/>
      <c r="AD60" s="11"/>
      <c r="AE60" s="11"/>
      <c r="AF60" s="11"/>
      <c r="AG60" s="10"/>
      <c r="AH60" s="10"/>
      <c r="AI60" s="10"/>
      <c r="AJ60" s="10"/>
      <c r="AK60" s="10"/>
      <c r="AL60" s="10"/>
      <c r="AM60" s="10"/>
      <c r="AN60" s="330">
        <v>33.928864705743742</v>
      </c>
      <c r="AO60" s="217">
        <v>36.07791509272306</v>
      </c>
      <c r="AP60" s="217">
        <v>36.07791509272306</v>
      </c>
      <c r="AQ60" s="10"/>
      <c r="AR60" s="10"/>
    </row>
    <row r="61" spans="1:44" x14ac:dyDescent="0.2">
      <c r="A61" s="5"/>
      <c r="B61" s="52"/>
      <c r="C61" s="52"/>
      <c r="D61" s="52"/>
      <c r="E61" s="9"/>
      <c r="F61" s="52"/>
      <c r="G61" s="52"/>
      <c r="H61" s="52"/>
      <c r="I61" s="52"/>
      <c r="J61" s="9"/>
      <c r="K61" s="5"/>
      <c r="L61" s="87"/>
      <c r="M61" s="54"/>
      <c r="N61" s="54"/>
      <c r="O61" s="54"/>
      <c r="P61" s="54"/>
      <c r="Q61" s="54"/>
      <c r="R61" s="54"/>
      <c r="S61" s="54"/>
      <c r="T61" s="54"/>
      <c r="U61" s="54"/>
      <c r="V61" s="54"/>
      <c r="W61" s="54"/>
      <c r="X61" s="54"/>
      <c r="Y61" s="88"/>
      <c r="Z61" s="78"/>
      <c r="AA61" s="78"/>
      <c r="AB61" s="78"/>
      <c r="AC61" s="78"/>
      <c r="AD61" s="11"/>
      <c r="AE61" s="11"/>
      <c r="AF61" s="11"/>
      <c r="AG61" s="10"/>
      <c r="AH61" s="10"/>
      <c r="AI61" s="10"/>
      <c r="AJ61" s="10"/>
      <c r="AK61" s="10"/>
      <c r="AL61" s="10"/>
      <c r="AM61" s="10"/>
      <c r="AN61" s="330">
        <v>34.711872894962745</v>
      </c>
      <c r="AO61" s="217">
        <v>35.237796957661828</v>
      </c>
      <c r="AP61" s="217">
        <v>35.237796957661828</v>
      </c>
      <c r="AQ61" s="10"/>
      <c r="AR61" s="10"/>
    </row>
    <row r="62" spans="1:44" x14ac:dyDescent="0.2">
      <c r="A62" s="5"/>
      <c r="B62" s="52"/>
      <c r="C62" s="52"/>
      <c r="D62" s="52"/>
      <c r="E62" s="9"/>
      <c r="F62" s="52"/>
      <c r="G62" s="52"/>
      <c r="H62" s="52"/>
      <c r="I62" s="52"/>
      <c r="J62" s="9"/>
      <c r="K62" s="5"/>
      <c r="L62" s="87"/>
      <c r="M62" s="54"/>
      <c r="N62" s="54"/>
      <c r="O62" s="54"/>
      <c r="P62" s="54"/>
      <c r="Q62" s="54"/>
      <c r="R62" s="54"/>
      <c r="S62" s="54"/>
      <c r="T62" s="54"/>
      <c r="U62" s="54"/>
      <c r="V62" s="54"/>
      <c r="W62" s="54"/>
      <c r="X62" s="54"/>
      <c r="Y62" s="88"/>
      <c r="Z62" s="78"/>
      <c r="AA62" s="78"/>
      <c r="AB62" s="78"/>
      <c r="AC62" s="78"/>
      <c r="AD62" s="11"/>
      <c r="AE62" s="11"/>
      <c r="AF62" s="11"/>
      <c r="AG62" s="10"/>
      <c r="AH62" s="10"/>
      <c r="AI62" s="10"/>
      <c r="AJ62" s="10"/>
      <c r="AK62" s="10"/>
      <c r="AL62" s="10"/>
      <c r="AM62" s="10"/>
      <c r="AN62" s="330">
        <v>35.503482333517454</v>
      </c>
      <c r="AO62" s="217">
        <v>34.397678822600653</v>
      </c>
      <c r="AP62" s="217">
        <v>34.397678822600653</v>
      </c>
      <c r="AQ62" s="10"/>
      <c r="AR62" s="10"/>
    </row>
    <row r="63" spans="1:44" x14ac:dyDescent="0.2">
      <c r="A63" s="5"/>
      <c r="B63" s="52"/>
      <c r="C63" s="52"/>
      <c r="D63" s="52"/>
      <c r="E63" s="9"/>
      <c r="F63" s="52"/>
      <c r="G63" s="52"/>
      <c r="H63" s="52"/>
      <c r="I63" s="52"/>
      <c r="J63" s="9"/>
      <c r="K63" s="5"/>
      <c r="L63" s="87"/>
      <c r="M63" s="54"/>
      <c r="N63" s="54"/>
      <c r="O63" s="54"/>
      <c r="P63" s="54"/>
      <c r="Q63" s="54"/>
      <c r="R63" s="54"/>
      <c r="S63" s="54"/>
      <c r="T63" s="54"/>
      <c r="U63" s="54"/>
      <c r="V63" s="54"/>
      <c r="W63" s="54"/>
      <c r="X63" s="54"/>
      <c r="Y63" s="88"/>
      <c r="Z63" s="78"/>
      <c r="AA63" s="78"/>
      <c r="AB63" s="78"/>
      <c r="AC63" s="78"/>
      <c r="AD63" s="11"/>
      <c r="AE63" s="11"/>
      <c r="AF63" s="11"/>
      <c r="AG63" s="10"/>
      <c r="AH63" s="10"/>
      <c r="AI63" s="10"/>
      <c r="AJ63" s="10"/>
      <c r="AK63" s="10"/>
      <c r="AL63" s="10"/>
      <c r="AM63" s="10"/>
      <c r="AN63" s="330">
        <v>36.303811638669806</v>
      </c>
      <c r="AO63" s="217">
        <v>33.557560687539478</v>
      </c>
      <c r="AP63" s="217">
        <v>33.557560687539478</v>
      </c>
      <c r="AQ63" s="10"/>
      <c r="AR63" s="10"/>
    </row>
    <row r="64" spans="1:44" x14ac:dyDescent="0.2">
      <c r="A64" s="5"/>
      <c r="B64" s="52"/>
      <c r="C64" s="52"/>
      <c r="D64" s="52"/>
      <c r="E64" s="9"/>
      <c r="F64" s="52"/>
      <c r="G64" s="52"/>
      <c r="H64" s="52"/>
      <c r="I64" s="52"/>
      <c r="J64" s="9"/>
      <c r="K64" s="5"/>
      <c r="L64" s="87"/>
      <c r="M64" s="54"/>
      <c r="N64" s="54"/>
      <c r="O64" s="54"/>
      <c r="P64" s="54"/>
      <c r="Q64" s="54"/>
      <c r="R64" s="54"/>
      <c r="S64" s="54"/>
      <c r="T64" s="54"/>
      <c r="U64" s="54"/>
      <c r="V64" s="54"/>
      <c r="W64" s="54"/>
      <c r="X64" s="54"/>
      <c r="Y64" s="88"/>
      <c r="Z64" s="78"/>
      <c r="AA64" s="78"/>
      <c r="AB64" s="78"/>
      <c r="AC64" s="78"/>
      <c r="AD64" s="11"/>
      <c r="AE64" s="11"/>
      <c r="AF64" s="11"/>
      <c r="AG64" s="10"/>
      <c r="AH64" s="10"/>
      <c r="AI64" s="10"/>
      <c r="AJ64" s="10"/>
      <c r="AK64" s="10"/>
      <c r="AL64" s="10"/>
      <c r="AM64" s="10"/>
      <c r="AN64" s="330">
        <v>37.112981400203452</v>
      </c>
      <c r="AO64" s="217">
        <v>32.717442552478246</v>
      </c>
      <c r="AP64" s="217">
        <v>32.717442552478246</v>
      </c>
      <c r="AQ64" s="10"/>
      <c r="AR64" s="10"/>
    </row>
    <row r="65" spans="1:44" x14ac:dyDescent="0.2">
      <c r="A65" s="5"/>
      <c r="B65" s="52"/>
      <c r="C65" s="52"/>
      <c r="D65" s="52"/>
      <c r="E65" s="9"/>
      <c r="F65" s="52"/>
      <c r="G65" s="52"/>
      <c r="H65" s="52"/>
      <c r="I65" s="52"/>
      <c r="J65" s="9"/>
      <c r="K65" s="5"/>
      <c r="L65" s="87"/>
      <c r="M65" s="54"/>
      <c r="N65" s="54"/>
      <c r="O65" s="54"/>
      <c r="P65" s="54"/>
      <c r="Q65" s="54"/>
      <c r="R65" s="54"/>
      <c r="S65" s="54"/>
      <c r="T65" s="54"/>
      <c r="U65" s="54"/>
      <c r="V65" s="54"/>
      <c r="W65" s="54"/>
      <c r="X65" s="54"/>
      <c r="Y65" s="88"/>
      <c r="Z65" s="78"/>
      <c r="AA65" s="78"/>
      <c r="AB65" s="78"/>
      <c r="AC65" s="78"/>
      <c r="AD65" s="11"/>
      <c r="AE65" s="11"/>
      <c r="AF65" s="11"/>
      <c r="AG65" s="10"/>
      <c r="AH65" s="10"/>
      <c r="AI65" s="10"/>
      <c r="AJ65" s="10"/>
      <c r="AK65" s="10"/>
      <c r="AL65" s="10"/>
      <c r="AM65" s="10"/>
      <c r="AN65" s="330">
        <v>37.931114218901875</v>
      </c>
      <c r="AO65" s="217">
        <v>31.877324417417071</v>
      </c>
      <c r="AP65" s="217">
        <v>31.877324417417071</v>
      </c>
      <c r="AQ65" s="10"/>
      <c r="AR65" s="10"/>
    </row>
    <row r="66" spans="1:44" x14ac:dyDescent="0.2">
      <c r="A66" s="5"/>
      <c r="B66" s="52"/>
      <c r="C66" s="52"/>
      <c r="D66" s="52"/>
      <c r="E66" s="9"/>
      <c r="F66" s="52"/>
      <c r="G66" s="52"/>
      <c r="H66" s="52"/>
      <c r="I66" s="52"/>
      <c r="J66" s="9"/>
      <c r="K66" s="5"/>
      <c r="L66" s="87"/>
      <c r="M66" s="54"/>
      <c r="N66" s="54"/>
      <c r="O66" s="54"/>
      <c r="P66" s="54"/>
      <c r="Q66" s="54"/>
      <c r="R66" s="54"/>
      <c r="S66" s="54"/>
      <c r="T66" s="54"/>
      <c r="U66" s="54"/>
      <c r="V66" s="54"/>
      <c r="W66" s="54"/>
      <c r="X66" s="54"/>
      <c r="Y66" s="88"/>
      <c r="Z66" s="78"/>
      <c r="AA66" s="78"/>
      <c r="AB66" s="78"/>
      <c r="AC66" s="78"/>
      <c r="AD66" s="11"/>
      <c r="AE66" s="11"/>
      <c r="AF66" s="11"/>
      <c r="AG66" s="10"/>
      <c r="AH66" s="10"/>
      <c r="AI66" s="10"/>
      <c r="AJ66" s="10"/>
      <c r="AK66" s="10"/>
      <c r="AL66" s="10"/>
      <c r="AM66" s="10"/>
      <c r="AN66" s="330">
        <v>38.758334745890373</v>
      </c>
      <c r="AO66" s="217">
        <v>31.037206282355839</v>
      </c>
      <c r="AP66" s="217">
        <v>31.037206282355839</v>
      </c>
      <c r="AQ66" s="10"/>
      <c r="AR66" s="10"/>
    </row>
    <row r="67" spans="1:44" ht="13.5" thickBot="1" x14ac:dyDescent="0.25">
      <c r="A67" s="5"/>
      <c r="B67" s="52"/>
      <c r="C67" s="52"/>
      <c r="D67" s="52"/>
      <c r="E67" s="9"/>
      <c r="F67" s="52"/>
      <c r="G67" s="52"/>
      <c r="H67" s="52"/>
      <c r="I67" s="52"/>
      <c r="J67" s="9"/>
      <c r="K67" s="5"/>
      <c r="L67" s="89"/>
      <c r="M67" s="90"/>
      <c r="N67" s="90"/>
      <c r="O67" s="90"/>
      <c r="P67" s="90"/>
      <c r="Q67" s="90"/>
      <c r="R67" s="90"/>
      <c r="S67" s="90"/>
      <c r="T67" s="90"/>
      <c r="U67" s="90"/>
      <c r="V67" s="90"/>
      <c r="W67" s="90"/>
      <c r="X67" s="90"/>
      <c r="Y67" s="91"/>
      <c r="Z67" s="78"/>
      <c r="AA67" s="78"/>
      <c r="AB67" s="78"/>
      <c r="AC67" s="78"/>
      <c r="AD67" s="11"/>
      <c r="AE67" s="11"/>
      <c r="AF67" s="11"/>
      <c r="AG67" s="10"/>
      <c r="AH67" s="10"/>
      <c r="AI67" s="10"/>
      <c r="AJ67" s="10"/>
      <c r="AK67" s="10"/>
      <c r="AL67" s="10"/>
      <c r="AM67" s="10"/>
      <c r="AN67" s="330">
        <v>39.594769722862203</v>
      </c>
      <c r="AO67" s="217">
        <v>30.197088147294664</v>
      </c>
      <c r="AP67" s="217">
        <v>30.197088147294664</v>
      </c>
      <c r="AQ67" s="10"/>
      <c r="AR67" s="10"/>
    </row>
    <row r="68" spans="1:44" ht="13.5" thickTop="1" x14ac:dyDescent="0.2">
      <c r="A68" s="5"/>
      <c r="B68" s="52"/>
      <c r="C68" s="52"/>
      <c r="D68" s="52"/>
      <c r="E68" s="9"/>
      <c r="F68" s="52"/>
      <c r="G68" s="52"/>
      <c r="H68" s="52"/>
      <c r="I68" s="52"/>
      <c r="J68" s="9"/>
      <c r="K68" s="5"/>
      <c r="L68" s="5"/>
      <c r="M68" s="5"/>
      <c r="N68" s="5"/>
      <c r="O68" s="5"/>
      <c r="P68" s="5"/>
      <c r="Q68" s="5"/>
      <c r="R68" s="5"/>
      <c r="S68" s="5"/>
      <c r="T68" s="5"/>
      <c r="U68" s="5"/>
      <c r="V68" s="5"/>
      <c r="W68" s="5"/>
      <c r="X68" s="5"/>
      <c r="Y68" s="5"/>
      <c r="Z68" s="200"/>
      <c r="AA68" s="200"/>
      <c r="AB68" s="200"/>
      <c r="AC68" s="200"/>
      <c r="AD68" s="10"/>
      <c r="AE68" s="10"/>
      <c r="AF68" s="10"/>
      <c r="AG68" s="10"/>
      <c r="AH68" s="10"/>
      <c r="AI68" s="10"/>
      <c r="AJ68" s="10"/>
      <c r="AK68" s="10"/>
      <c r="AL68" s="10"/>
      <c r="AM68" s="10"/>
      <c r="AN68" s="330">
        <v>40.440548023213154</v>
      </c>
      <c r="AO68" s="217">
        <v>29.356970012233432</v>
      </c>
      <c r="AP68" s="217">
        <v>29.356970012233432</v>
      </c>
      <c r="AQ68" s="10"/>
      <c r="AR68" s="10"/>
    </row>
    <row r="69" spans="1:44" x14ac:dyDescent="0.2">
      <c r="A69" s="5"/>
      <c r="B69" s="52"/>
      <c r="C69" s="52"/>
      <c r="D69" s="52"/>
      <c r="E69" s="9"/>
      <c r="F69" s="52"/>
      <c r="G69" s="52"/>
      <c r="H69" s="52"/>
      <c r="I69" s="52"/>
      <c r="J69" s="9"/>
      <c r="K69" s="5"/>
      <c r="L69" s="5"/>
      <c r="M69" s="5"/>
      <c r="N69" s="5"/>
      <c r="O69" s="5"/>
      <c r="P69" s="5"/>
      <c r="Q69" s="5"/>
      <c r="R69" s="5"/>
      <c r="S69" s="5"/>
      <c r="T69" s="5"/>
      <c r="U69" s="5"/>
      <c r="V69" s="5"/>
      <c r="W69" s="5"/>
      <c r="X69" s="5"/>
      <c r="Y69" s="5"/>
      <c r="Z69" s="200"/>
      <c r="AA69" s="200"/>
      <c r="AB69" s="200"/>
      <c r="AC69" s="200"/>
      <c r="AD69" s="10"/>
      <c r="AE69" s="10"/>
      <c r="AF69" s="10"/>
      <c r="AG69" s="10"/>
      <c r="AH69" s="10"/>
      <c r="AI69" s="10"/>
      <c r="AJ69" s="10"/>
      <c r="AK69" s="10"/>
      <c r="AL69" s="10"/>
      <c r="AM69" s="10"/>
      <c r="AN69" s="330">
        <v>41.295800694106418</v>
      </c>
      <c r="AO69" s="217">
        <v>28.516851877172257</v>
      </c>
      <c r="AP69" s="217">
        <v>28.516851877172257</v>
      </c>
      <c r="AQ69" s="10"/>
      <c r="AR69" s="10"/>
    </row>
    <row r="70" spans="1:44" x14ac:dyDescent="0.2">
      <c r="A70" s="79"/>
      <c r="B70" s="79"/>
      <c r="C70" s="79"/>
      <c r="D70" s="79"/>
      <c r="E70" s="79"/>
      <c r="F70" s="79"/>
      <c r="G70" s="79"/>
      <c r="H70" s="79"/>
      <c r="I70" s="79"/>
      <c r="N70" s="10"/>
      <c r="O70" s="10"/>
      <c r="P70" s="10"/>
      <c r="Q70" s="10"/>
      <c r="R70" s="10"/>
      <c r="S70" s="10"/>
      <c r="T70" s="10"/>
      <c r="U70" s="10"/>
      <c r="V70" s="10"/>
      <c r="W70" s="10"/>
      <c r="X70" s="10"/>
      <c r="Y70" s="10"/>
      <c r="Z70" s="200"/>
      <c r="AA70" s="200"/>
      <c r="AB70" s="200"/>
      <c r="AC70" s="200"/>
      <c r="AD70" s="10"/>
      <c r="AE70" s="10"/>
      <c r="AF70" s="10"/>
      <c r="AG70" s="10"/>
      <c r="AH70" s="10"/>
      <c r="AI70" s="10"/>
      <c r="AJ70" s="10"/>
      <c r="AK70" s="10"/>
      <c r="AL70" s="10"/>
      <c r="AM70" s="10"/>
      <c r="AN70" s="330">
        <v>42.160660999492329</v>
      </c>
      <c r="AO70" s="217">
        <v>27.676733742111082</v>
      </c>
      <c r="AP70" s="217">
        <v>27.676733742111082</v>
      </c>
      <c r="AQ70" s="10"/>
      <c r="AR70" s="10"/>
    </row>
    <row r="71" spans="1:44" x14ac:dyDescent="0.2">
      <c r="A71" s="79"/>
      <c r="B71" s="79" t="s">
        <v>340</v>
      </c>
      <c r="C71" s="79"/>
      <c r="D71" s="79"/>
      <c r="E71" s="79"/>
      <c r="F71" s="79"/>
      <c r="G71" s="79"/>
      <c r="H71" s="79"/>
      <c r="I71" s="79"/>
      <c r="N71" s="10"/>
      <c r="O71" s="10"/>
      <c r="P71" s="10"/>
      <c r="Q71" s="10"/>
      <c r="R71" s="10"/>
      <c r="S71" s="10"/>
      <c r="T71" s="10"/>
      <c r="U71" s="10"/>
      <c r="V71" s="10"/>
      <c r="W71" s="10"/>
      <c r="X71" s="10"/>
      <c r="Y71" s="10"/>
      <c r="Z71" s="200"/>
      <c r="AA71" s="200"/>
      <c r="AB71" s="200"/>
      <c r="AC71" s="200"/>
      <c r="AD71" s="10"/>
      <c r="AE71" s="10"/>
      <c r="AF71" s="10"/>
      <c r="AG71" s="10"/>
      <c r="AH71" s="10"/>
      <c r="AI71" s="10"/>
      <c r="AJ71" s="10"/>
      <c r="AK71" s="10"/>
      <c r="AL71" s="10"/>
      <c r="AM71" s="10"/>
      <c r="AN71" s="330">
        <v>43.035264464107378</v>
      </c>
      <c r="AO71" s="217">
        <v>26.83661560704985</v>
      </c>
      <c r="AP71" s="217">
        <v>26.83661560704985</v>
      </c>
      <c r="AQ71" s="10"/>
      <c r="AR71" s="10"/>
    </row>
    <row r="72" spans="1:44" x14ac:dyDescent="0.2">
      <c r="A72" s="79"/>
      <c r="B72" s="79" t="s">
        <v>341</v>
      </c>
      <c r="C72" s="79"/>
      <c r="D72" s="79"/>
      <c r="E72" s="79"/>
      <c r="F72" s="79"/>
      <c r="G72" s="79"/>
      <c r="H72" s="79"/>
      <c r="I72" s="79"/>
      <c r="O72" s="10"/>
      <c r="P72" s="10"/>
      <c r="Q72" s="10"/>
      <c r="R72" s="10"/>
      <c r="S72" s="10"/>
      <c r="T72" s="10"/>
      <c r="U72" s="10"/>
      <c r="V72" s="10"/>
      <c r="W72" s="10"/>
      <c r="X72" s="10"/>
      <c r="Y72" s="10"/>
      <c r="Z72" s="200"/>
      <c r="AA72" s="200"/>
      <c r="AB72" s="200"/>
      <c r="AC72" s="200"/>
      <c r="AD72" s="10"/>
      <c r="AE72" s="10"/>
      <c r="AF72" s="10"/>
      <c r="AG72" s="10"/>
      <c r="AH72" s="10"/>
      <c r="AI72" s="10"/>
      <c r="AJ72" s="10"/>
      <c r="AN72" s="330">
        <v>43.919748918477389</v>
      </c>
      <c r="AO72" s="217">
        <v>25.996497471988675</v>
      </c>
      <c r="AP72" s="217">
        <v>25.996497471988675</v>
      </c>
    </row>
    <row r="73" spans="1:44" x14ac:dyDescent="0.2">
      <c r="A73" s="79"/>
      <c r="B73" s="79"/>
      <c r="C73" s="79"/>
      <c r="D73" s="79"/>
      <c r="E73" s="79"/>
      <c r="F73" s="79"/>
      <c r="G73" s="79"/>
      <c r="H73" s="79"/>
      <c r="I73" s="79"/>
      <c r="O73" s="10"/>
      <c r="P73" s="10"/>
      <c r="Q73" s="10"/>
      <c r="R73" s="10"/>
      <c r="S73" s="10"/>
      <c r="T73" s="10"/>
      <c r="U73" s="10"/>
      <c r="V73" s="10"/>
      <c r="W73" s="10"/>
      <c r="X73" s="10"/>
      <c r="Y73" s="10"/>
      <c r="Z73" s="200"/>
      <c r="AA73" s="200"/>
      <c r="AB73" s="200"/>
      <c r="AC73" s="200"/>
      <c r="AD73" s="10"/>
      <c r="AE73" s="10"/>
      <c r="AF73" s="10"/>
      <c r="AG73" s="10"/>
      <c r="AH73" s="10"/>
      <c r="AI73" s="10"/>
      <c r="AJ73" s="10"/>
      <c r="AN73" s="330">
        <v>44.814254544951559</v>
      </c>
      <c r="AO73" s="217">
        <v>25.156379336927444</v>
      </c>
      <c r="AP73" s="217">
        <v>25.156379336927444</v>
      </c>
    </row>
    <row r="74" spans="1:44" x14ac:dyDescent="0.2">
      <c r="A74" s="79"/>
      <c r="B74" s="79"/>
      <c r="C74" s="79"/>
      <c r="D74" s="79"/>
      <c r="E74" s="79"/>
      <c r="F74" s="79" t="s">
        <v>342</v>
      </c>
      <c r="G74" s="79">
        <v>1322</v>
      </c>
      <c r="H74" s="79"/>
      <c r="I74" s="79"/>
      <c r="O74" s="10"/>
      <c r="P74" s="10"/>
      <c r="Q74" s="10"/>
      <c r="R74" s="10"/>
      <c r="S74" s="10"/>
      <c r="T74" s="10"/>
      <c r="U74" s="10"/>
      <c r="V74" s="10"/>
      <c r="W74" s="10"/>
      <c r="X74" s="10"/>
      <c r="Y74" s="10"/>
      <c r="Z74" s="200"/>
      <c r="AA74" s="200"/>
      <c r="AB74" s="200"/>
      <c r="AC74" s="200"/>
      <c r="AD74" s="10"/>
      <c r="AE74" s="10"/>
      <c r="AF74" s="10"/>
      <c r="AG74" s="10"/>
      <c r="AH74" s="10"/>
      <c r="AI74" s="10"/>
      <c r="AJ74" s="10"/>
      <c r="AN74" s="330">
        <v>45.718923924793394</v>
      </c>
      <c r="AO74" s="217">
        <v>24.316261201866268</v>
      </c>
      <c r="AP74" s="217">
        <v>24.316261201866268</v>
      </c>
    </row>
    <row r="75" spans="1:44" x14ac:dyDescent="0.2">
      <c r="A75" s="79"/>
      <c r="B75" s="79"/>
      <c r="C75" s="79"/>
      <c r="D75" s="79"/>
      <c r="E75" s="79"/>
      <c r="F75" s="79" t="s">
        <v>343</v>
      </c>
      <c r="G75" s="79">
        <v>1414</v>
      </c>
      <c r="H75" s="79"/>
      <c r="I75" s="79"/>
      <c r="O75" s="10"/>
      <c r="P75" s="10"/>
      <c r="Q75" s="10"/>
      <c r="R75" s="10"/>
      <c r="S75" s="10"/>
      <c r="T75" s="10"/>
      <c r="U75" s="10"/>
      <c r="V75" s="10"/>
      <c r="W75" s="10"/>
      <c r="X75" s="10"/>
      <c r="Y75" s="10"/>
      <c r="Z75" s="200"/>
      <c r="AA75" s="200"/>
      <c r="AB75" s="200"/>
      <c r="AC75" s="200"/>
      <c r="AD75" s="10"/>
      <c r="AE75" s="10"/>
      <c r="AF75" s="10"/>
      <c r="AG75" s="10"/>
      <c r="AH75" s="10"/>
      <c r="AI75" s="10"/>
      <c r="AJ75" s="10"/>
      <c r="AN75" s="330">
        <v>46.633902086356812</v>
      </c>
      <c r="AO75" s="217">
        <v>23.476143066805037</v>
      </c>
      <c r="AP75" s="217">
        <v>23.476143066805037</v>
      </c>
    </row>
    <row r="76" spans="1:44" x14ac:dyDescent="0.2">
      <c r="A76" s="79" t="s">
        <v>209</v>
      </c>
      <c r="B76" s="79"/>
      <c r="C76" s="79"/>
      <c r="D76" s="79"/>
      <c r="E76" s="79"/>
      <c r="F76" s="79"/>
      <c r="G76" s="79"/>
      <c r="H76" s="79"/>
      <c r="I76" s="79"/>
      <c r="J76" s="83"/>
      <c r="K76" s="77"/>
      <c r="L76" s="77"/>
      <c r="M76" s="76"/>
      <c r="N76" s="76"/>
      <c r="O76" s="76"/>
      <c r="P76" s="76"/>
      <c r="Q76" s="76"/>
      <c r="R76" s="76"/>
      <c r="S76" s="76"/>
      <c r="Z76" s="76"/>
      <c r="AA76" s="76"/>
      <c r="AB76" s="76"/>
      <c r="AC76" s="76"/>
      <c r="AN76" s="330">
        <v>47.559336554374298</v>
      </c>
      <c r="AO76" s="217">
        <v>22.636024931743862</v>
      </c>
      <c r="AP76" s="217">
        <v>22.636024931743862</v>
      </c>
    </row>
    <row r="77" spans="1:44" x14ac:dyDescent="0.2">
      <c r="A77" s="79" t="s">
        <v>210</v>
      </c>
      <c r="B77" s="79"/>
      <c r="C77" s="79"/>
      <c r="D77" s="79"/>
      <c r="E77" s="79"/>
      <c r="F77" s="79"/>
      <c r="G77" s="79"/>
      <c r="H77" s="79"/>
      <c r="I77" s="79"/>
      <c r="J77" s="83"/>
      <c r="K77" s="77"/>
      <c r="L77" s="77"/>
      <c r="M77" s="76"/>
      <c r="N77" s="76"/>
      <c r="O77" s="76"/>
      <c r="P77" s="76"/>
      <c r="Q77" s="76"/>
      <c r="R77" s="76"/>
      <c r="S77" s="76"/>
      <c r="Z77" s="76"/>
      <c r="AA77" s="76"/>
      <c r="AB77" s="76"/>
      <c r="AC77" s="76"/>
      <c r="AN77" s="330">
        <v>48.495377400388598</v>
      </c>
      <c r="AO77" s="217">
        <v>21.79590679668263</v>
      </c>
      <c r="AP77" s="217">
        <v>21.79590679668263</v>
      </c>
    </row>
    <row r="78" spans="1:44" x14ac:dyDescent="0.2">
      <c r="A78" s="79" t="s">
        <v>300</v>
      </c>
      <c r="B78" s="79"/>
      <c r="C78" s="79"/>
      <c r="D78" s="79"/>
      <c r="E78" s="79"/>
      <c r="F78" s="79"/>
      <c r="G78" s="79" t="s">
        <v>154</v>
      </c>
      <c r="H78" s="79" t="s">
        <v>155</v>
      </c>
      <c r="I78" s="79" t="s">
        <v>156</v>
      </c>
      <c r="J78" s="79" t="s">
        <v>157</v>
      </c>
      <c r="K78" s="79"/>
      <c r="L78" s="77"/>
      <c r="M78" s="76"/>
      <c r="N78" s="76"/>
      <c r="O78" s="76"/>
      <c r="P78" s="76"/>
      <c r="Q78" s="76"/>
      <c r="R78" s="76"/>
      <c r="S78" s="76"/>
      <c r="Z78" s="76"/>
      <c r="AA78" s="76"/>
      <c r="AB78" s="76"/>
      <c r="AC78" s="76"/>
      <c r="AN78" s="330">
        <v>49.442177294355325</v>
      </c>
      <c r="AO78" s="217">
        <v>20.955788661621455</v>
      </c>
      <c r="AP78" s="217">
        <v>20.955788661621455</v>
      </c>
    </row>
    <row r="79" spans="1:44" x14ac:dyDescent="0.2">
      <c r="A79" s="79"/>
      <c r="B79" s="79"/>
      <c r="C79" s="79"/>
      <c r="D79" s="79"/>
      <c r="E79" s="79"/>
      <c r="F79" s="79"/>
      <c r="G79" s="79">
        <v>0</v>
      </c>
      <c r="H79" s="79">
        <v>0</v>
      </c>
      <c r="I79" s="79">
        <v>0</v>
      </c>
      <c r="J79" s="80">
        <v>0</v>
      </c>
      <c r="K79" s="79"/>
      <c r="L79" s="77"/>
      <c r="M79" s="76"/>
      <c r="N79" s="76"/>
      <c r="O79" s="76"/>
      <c r="P79" s="76"/>
      <c r="Q79" s="76"/>
      <c r="R79" s="76"/>
      <c r="S79" s="76"/>
      <c r="AN79" s="330">
        <v>50.399891557449386</v>
      </c>
      <c r="AO79" s="217">
        <v>20.11567052656028</v>
      </c>
      <c r="AP79" s="217">
        <v>20.11567052656028</v>
      </c>
    </row>
    <row r="80" spans="1:44" x14ac:dyDescent="0.2">
      <c r="A80" s="79"/>
      <c r="B80" s="79"/>
      <c r="C80" s="79"/>
      <c r="D80" s="79"/>
      <c r="E80" s="79"/>
      <c r="F80" s="79"/>
      <c r="G80" s="79">
        <v>-5</v>
      </c>
      <c r="H80" s="80">
        <v>-10</v>
      </c>
      <c r="I80" s="80">
        <v>0</v>
      </c>
      <c r="J80" s="80">
        <v>0</v>
      </c>
      <c r="K80" s="79"/>
      <c r="L80" s="77"/>
      <c r="M80" s="76"/>
      <c r="N80" s="76"/>
      <c r="O80" s="76"/>
      <c r="P80" s="76"/>
      <c r="Q80" s="76"/>
      <c r="R80" s="76"/>
      <c r="S80" s="76"/>
      <c r="AN80" s="330">
        <v>51.368678216106176</v>
      </c>
      <c r="AO80" s="217">
        <v>19.275552391499048</v>
      </c>
      <c r="AP80" s="217">
        <v>19.275552391499048</v>
      </c>
    </row>
    <row r="81" spans="1:42" x14ac:dyDescent="0.2">
      <c r="A81" s="79" t="s">
        <v>158</v>
      </c>
      <c r="B81" s="79" t="s">
        <v>159</v>
      </c>
      <c r="C81" s="79" t="s">
        <v>160</v>
      </c>
      <c r="D81" s="79"/>
      <c r="E81" s="79"/>
      <c r="F81" s="79"/>
      <c r="G81" s="79">
        <v>-10</v>
      </c>
      <c r="H81" s="80">
        <v>-10</v>
      </c>
      <c r="I81" s="80">
        <v>10</v>
      </c>
      <c r="J81" s="80">
        <v>-10</v>
      </c>
      <c r="K81" s="79"/>
      <c r="L81" s="77"/>
      <c r="M81" s="76"/>
      <c r="N81" s="76"/>
      <c r="O81" s="76"/>
      <c r="P81" s="76"/>
      <c r="Q81" s="76"/>
      <c r="R81" s="76"/>
      <c r="S81" s="76"/>
      <c r="AN81" s="330">
        <v>52.348698057329791</v>
      </c>
      <c r="AO81" s="217">
        <v>18.435434256437873</v>
      </c>
      <c r="AP81" s="217">
        <v>18.435434256437873</v>
      </c>
    </row>
    <row r="82" spans="1:42" x14ac:dyDescent="0.2">
      <c r="A82" s="79" t="s">
        <v>214</v>
      </c>
      <c r="B82" s="79" t="s">
        <v>200</v>
      </c>
      <c r="C82" s="79"/>
      <c r="D82" s="79"/>
      <c r="E82" s="79"/>
      <c r="F82" s="79"/>
      <c r="G82" s="79">
        <v>20</v>
      </c>
      <c r="H82" s="80">
        <v>50</v>
      </c>
      <c r="I82" s="80">
        <v>40</v>
      </c>
      <c r="J82" s="80">
        <v>40</v>
      </c>
      <c r="K82" s="79"/>
      <c r="L82" s="77"/>
      <c r="M82" s="76"/>
      <c r="N82" s="76"/>
      <c r="O82" s="76"/>
      <c r="P82" s="76"/>
      <c r="Q82" s="76"/>
      <c r="R82" s="76"/>
      <c r="S82" s="76"/>
      <c r="AN82" s="330">
        <v>53.34011468530344</v>
      </c>
      <c r="AO82" s="217">
        <v>17.595316121376641</v>
      </c>
      <c r="AP82" s="217">
        <v>17.595316121376641</v>
      </c>
    </row>
    <row r="83" spans="1:42" x14ac:dyDescent="0.2">
      <c r="A83" s="79" t="s">
        <v>316</v>
      </c>
      <c r="B83" s="79">
        <v>0.08</v>
      </c>
      <c r="C83" s="79">
        <v>0.8</v>
      </c>
      <c r="D83" s="79"/>
      <c r="E83" s="79"/>
      <c r="F83" s="79"/>
      <c r="G83" s="79">
        <v>10</v>
      </c>
      <c r="H83" s="80">
        <v>10</v>
      </c>
      <c r="I83" s="80">
        <v>10</v>
      </c>
      <c r="J83" s="80">
        <v>10</v>
      </c>
      <c r="K83" s="79"/>
      <c r="L83" s="77"/>
      <c r="M83" s="76"/>
      <c r="N83" s="76"/>
      <c r="O83" s="76"/>
      <c r="P83" s="76"/>
      <c r="Q83" s="76"/>
      <c r="R83" s="76"/>
      <c r="S83" s="76"/>
      <c r="AN83" s="330">
        <v>54.343094579334931</v>
      </c>
      <c r="AO83" s="217">
        <v>16.755197986315466</v>
      </c>
      <c r="AP83" s="217">
        <v>16.755197986315466</v>
      </c>
    </row>
    <row r="84" spans="1:42" x14ac:dyDescent="0.2">
      <c r="A84" s="79" t="s">
        <v>317</v>
      </c>
      <c r="B84" s="79">
        <v>0.11</v>
      </c>
      <c r="C84" s="79">
        <v>0.8</v>
      </c>
      <c r="D84" s="79"/>
      <c r="E84" s="79"/>
      <c r="F84" s="79"/>
      <c r="G84" s="79">
        <v>0</v>
      </c>
      <c r="H84" s="80">
        <v>0</v>
      </c>
      <c r="I84" s="80">
        <v>0</v>
      </c>
      <c r="J84" s="80">
        <v>0</v>
      </c>
      <c r="K84" s="79" t="str">
        <f>IF(H27&lt;0,H27,"")</f>
        <v/>
      </c>
      <c r="L84" s="77"/>
      <c r="M84" s="76"/>
      <c r="N84" s="76"/>
      <c r="O84" s="76"/>
      <c r="P84" s="76"/>
      <c r="Q84" s="76"/>
      <c r="R84" s="76"/>
      <c r="S84" s="76"/>
      <c r="AN84" s="330">
        <v>55.357807153174726</v>
      </c>
      <c r="AO84" s="217">
        <v>15.915079851254234</v>
      </c>
      <c r="AP84" s="217">
        <v>15.915079851254234</v>
      </c>
    </row>
    <row r="85" spans="1:42" x14ac:dyDescent="0.2">
      <c r="A85" s="79" t="s">
        <v>349</v>
      </c>
      <c r="B85" s="79">
        <v>0.1</v>
      </c>
      <c r="C85" s="79">
        <v>0.66</v>
      </c>
      <c r="D85" s="79"/>
      <c r="E85" s="79"/>
      <c r="F85" s="79"/>
      <c r="G85" s="79">
        <v>0</v>
      </c>
      <c r="H85" s="80">
        <v>0</v>
      </c>
      <c r="I85" s="80">
        <v>0</v>
      </c>
      <c r="J85" s="80">
        <v>0</v>
      </c>
      <c r="K85" s="79">
        <f>IF(H27&lt;0,H26,H26-H27)</f>
        <v>40.344122659907839</v>
      </c>
      <c r="L85" s="77"/>
      <c r="M85" s="76"/>
      <c r="N85" s="76"/>
      <c r="O85" s="76"/>
      <c r="P85" s="76"/>
      <c r="Q85" s="76"/>
      <c r="R85" s="76"/>
      <c r="S85" s="76"/>
      <c r="AN85" s="330">
        <v>56.384424815741973</v>
      </c>
      <c r="AO85" s="217">
        <v>15.074961716193059</v>
      </c>
      <c r="AP85" s="217">
        <v>15.074961716193059</v>
      </c>
    </row>
    <row r="86" spans="1:42" x14ac:dyDescent="0.2">
      <c r="A86" s="79" t="s">
        <v>350</v>
      </c>
      <c r="B86" s="79">
        <v>0.16</v>
      </c>
      <c r="C86" s="79">
        <v>0.78</v>
      </c>
      <c r="D86" s="79"/>
      <c r="E86" s="79"/>
      <c r="F86" s="79"/>
      <c r="G86" s="79"/>
      <c r="H86" s="77"/>
      <c r="I86" s="77"/>
      <c r="J86" s="83"/>
      <c r="K86" s="77"/>
      <c r="L86" s="77"/>
      <c r="M86" s="76"/>
      <c r="N86" s="76"/>
      <c r="O86" s="76"/>
      <c r="P86" s="76"/>
      <c r="Q86" s="76"/>
      <c r="R86" s="76"/>
      <c r="S86" s="76"/>
      <c r="AN86" s="330">
        <v>57.423123033297479</v>
      </c>
      <c r="AO86" s="217">
        <v>14.234843581131884</v>
      </c>
      <c r="AP86" s="217">
        <v>14.234843581131884</v>
      </c>
    </row>
    <row r="87" spans="1:42" x14ac:dyDescent="0.2">
      <c r="A87" s="79" t="s">
        <v>318</v>
      </c>
      <c r="B87" s="79">
        <v>0.09</v>
      </c>
      <c r="C87" s="79">
        <v>0.66</v>
      </c>
      <c r="D87" s="79"/>
      <c r="E87" s="79"/>
      <c r="F87" s="79"/>
      <c r="G87" s="79"/>
      <c r="H87" s="77"/>
      <c r="I87" s="77"/>
      <c r="J87" s="83"/>
      <c r="K87" s="77"/>
      <c r="L87" s="77"/>
      <c r="M87" s="76"/>
      <c r="N87" s="76"/>
      <c r="O87" s="76"/>
      <c r="P87" s="76"/>
      <c r="Q87" s="76"/>
      <c r="R87" s="76"/>
      <c r="S87" s="76"/>
      <c r="AN87" s="330">
        <v>58.474080393101886</v>
      </c>
      <c r="AO87" s="217">
        <v>13.394725446070652</v>
      </c>
      <c r="AP87" s="217">
        <v>13.394725446070652</v>
      </c>
    </row>
    <row r="88" spans="1:42" x14ac:dyDescent="0.2">
      <c r="A88" s="79" t="s">
        <v>319</v>
      </c>
      <c r="B88" s="79">
        <v>0.09</v>
      </c>
      <c r="C88" s="79">
        <v>0.78</v>
      </c>
      <c r="D88" s="79"/>
      <c r="E88" s="79"/>
      <c r="F88" s="79"/>
      <c r="G88" s="79"/>
      <c r="H88" s="77"/>
      <c r="I88" s="77"/>
      <c r="J88" s="83"/>
      <c r="K88" s="77"/>
      <c r="L88" s="77"/>
      <c r="M88" s="76"/>
      <c r="N88" s="76"/>
      <c r="O88" s="76"/>
      <c r="P88" s="76"/>
      <c r="Q88" s="76"/>
      <c r="R88" s="76"/>
      <c r="S88" s="76"/>
      <c r="AN88" s="330">
        <v>59.537478668599952</v>
      </c>
      <c r="AO88" s="217">
        <v>12.554607311009477</v>
      </c>
      <c r="AP88" s="217">
        <v>12.554607311009477</v>
      </c>
    </row>
    <row r="89" spans="1:42" x14ac:dyDescent="0.2">
      <c r="A89" s="79" t="s">
        <v>320</v>
      </c>
      <c r="B89" s="79">
        <v>0.25</v>
      </c>
      <c r="C89" s="79">
        <v>0.85</v>
      </c>
      <c r="D89" s="79"/>
      <c r="E89" s="79"/>
      <c r="F89" s="79"/>
      <c r="G89" s="79"/>
      <c r="H89" s="76"/>
      <c r="I89" s="76"/>
      <c r="J89" s="82"/>
      <c r="K89" s="76"/>
      <c r="L89" s="76"/>
      <c r="M89" s="76"/>
      <c r="N89" s="76"/>
      <c r="O89" s="76"/>
      <c r="P89" s="76"/>
      <c r="Q89" s="76"/>
      <c r="R89" s="76"/>
      <c r="S89" s="76"/>
      <c r="AN89" s="330">
        <v>60.613502886172213</v>
      </c>
      <c r="AO89" s="217">
        <v>11.714489175948245</v>
      </c>
      <c r="AP89" s="217">
        <v>11.714489175948245</v>
      </c>
    </row>
    <row r="90" spans="1:42" x14ac:dyDescent="0.2">
      <c r="A90" s="79" t="s">
        <v>322</v>
      </c>
      <c r="B90" s="79">
        <v>0.2</v>
      </c>
      <c r="C90" s="79">
        <v>0.92</v>
      </c>
      <c r="D90" s="79"/>
      <c r="E90" s="79"/>
      <c r="F90" s="79"/>
      <c r="G90" s="79"/>
      <c r="H90" s="76"/>
      <c r="I90" s="76"/>
      <c r="J90" s="82"/>
      <c r="K90" s="76"/>
      <c r="L90" s="76"/>
      <c r="M90" s="76"/>
      <c r="N90" s="76"/>
      <c r="O90" s="76"/>
      <c r="P90" s="76"/>
      <c r="Q90" s="76"/>
      <c r="R90" s="76"/>
      <c r="S90" s="76"/>
      <c r="AN90" s="330">
        <v>61.702341393496269</v>
      </c>
      <c r="AO90" s="217">
        <v>10.87437104088707</v>
      </c>
      <c r="AP90" s="217">
        <v>10.87437104088707</v>
      </c>
    </row>
    <row r="91" spans="1:42" x14ac:dyDescent="0.2">
      <c r="A91" s="79" t="s">
        <v>321</v>
      </c>
      <c r="B91" s="79">
        <v>0.28000000000000003</v>
      </c>
      <c r="C91" s="79">
        <v>0.88</v>
      </c>
      <c r="D91" s="79"/>
      <c r="E91" s="79"/>
      <c r="F91" s="79">
        <f>C24</f>
        <v>0</v>
      </c>
      <c r="G91" s="79">
        <f>C25</f>
        <v>0</v>
      </c>
      <c r="H91" s="76"/>
      <c r="I91" s="76"/>
      <c r="J91" s="82"/>
      <c r="K91" s="76"/>
      <c r="L91" s="76"/>
      <c r="M91" s="76"/>
      <c r="N91" s="76"/>
      <c r="O91" s="76"/>
      <c r="P91" s="76"/>
      <c r="Q91" s="76"/>
      <c r="R91" s="76"/>
      <c r="S91" s="76"/>
      <c r="AN91" s="330">
        <v>62.80418592956304</v>
      </c>
      <c r="AO91" s="217">
        <v>10.034252905825838</v>
      </c>
      <c r="AP91" s="217">
        <v>10.034252905825838</v>
      </c>
    </row>
    <row r="92" spans="1:42" x14ac:dyDescent="0.2">
      <c r="A92" s="79" t="s">
        <v>323</v>
      </c>
      <c r="B92" s="79">
        <v>0.98</v>
      </c>
      <c r="C92" s="79">
        <v>0.89</v>
      </c>
      <c r="D92" s="79"/>
      <c r="E92" s="79"/>
      <c r="F92" s="79"/>
      <c r="G92" s="79"/>
      <c r="H92" s="76"/>
      <c r="I92" s="76"/>
      <c r="J92" s="82"/>
      <c r="K92" s="76"/>
      <c r="L92" s="76"/>
      <c r="M92" s="76"/>
      <c r="N92" s="76"/>
      <c r="O92" s="76"/>
      <c r="P92" s="76"/>
      <c r="Q92" s="76"/>
      <c r="R92" s="76"/>
      <c r="S92" s="76"/>
      <c r="AN92" s="330">
        <v>63.919231696391471</v>
      </c>
      <c r="AO92" s="217">
        <v>9.1941347707646628</v>
      </c>
      <c r="AP92" s="217">
        <v>9.1941347707646628</v>
      </c>
    </row>
    <row r="93" spans="1:42" x14ac:dyDescent="0.2">
      <c r="A93" s="79" t="s">
        <v>324</v>
      </c>
      <c r="B93" s="79">
        <v>0.97</v>
      </c>
      <c r="C93" s="79">
        <v>0.84</v>
      </c>
      <c r="D93" s="79"/>
      <c r="E93" s="79"/>
      <c r="F93" s="79"/>
      <c r="G93" s="79"/>
      <c r="H93" s="76"/>
      <c r="I93" s="76"/>
      <c r="J93" s="82"/>
      <c r="K93" s="76"/>
      <c r="L93" s="76"/>
      <c r="M93" s="76"/>
      <c r="N93" s="76"/>
      <c r="O93" s="76"/>
      <c r="P93" s="76"/>
      <c r="Q93" s="76"/>
      <c r="R93" s="76"/>
      <c r="S93" s="76"/>
      <c r="AN93" s="330">
        <v>65.047677432490545</v>
      </c>
      <c r="AO93" s="217">
        <v>8.3540166357034877</v>
      </c>
      <c r="AP93" s="217">
        <v>8.3540166357034877</v>
      </c>
    </row>
    <row r="94" spans="1:42" x14ac:dyDescent="0.2">
      <c r="A94" s="79" t="s">
        <v>325</v>
      </c>
      <c r="B94" s="79">
        <v>0.34</v>
      </c>
      <c r="C94" s="79">
        <v>0.55000000000000004</v>
      </c>
      <c r="D94" s="79"/>
      <c r="E94" s="79"/>
      <c r="F94" s="79"/>
      <c r="G94" s="79"/>
      <c r="H94" s="76"/>
      <c r="I94" s="76"/>
      <c r="J94" s="82"/>
      <c r="K94" s="76"/>
      <c r="L94" s="76"/>
      <c r="M94" s="76"/>
      <c r="N94" s="76"/>
      <c r="O94" s="76"/>
      <c r="P94" s="76"/>
      <c r="Q94" s="76"/>
      <c r="R94" s="76"/>
      <c r="S94" s="76"/>
      <c r="AN94" s="330">
        <v>66.189725488115513</v>
      </c>
      <c r="AO94" s="217">
        <v>7.5138985006422558</v>
      </c>
      <c r="AP94" s="217">
        <v>7.5138985006422558</v>
      </c>
    </row>
    <row r="95" spans="1:42" x14ac:dyDescent="0.2">
      <c r="A95" s="79" t="s">
        <v>326</v>
      </c>
      <c r="B95" s="79">
        <v>0.38</v>
      </c>
      <c r="C95" s="79">
        <v>0.67</v>
      </c>
      <c r="D95" s="79"/>
      <c r="E95" s="79"/>
      <c r="F95" s="79"/>
      <c r="G95" s="79"/>
      <c r="H95" s="76"/>
      <c r="I95" s="76"/>
      <c r="J95" s="82"/>
      <c r="K95" s="76"/>
      <c r="L95" s="76"/>
      <c r="M95" s="76"/>
      <c r="N95" s="76"/>
      <c r="O95" s="76"/>
      <c r="P95" s="76"/>
      <c r="Q95" s="76"/>
      <c r="R95" s="76"/>
      <c r="S95" s="76"/>
      <c r="AN95" s="330">
        <v>67.345581902368039</v>
      </c>
      <c r="AO95" s="217">
        <v>6.6737803655810808</v>
      </c>
      <c r="AP95" s="217">
        <v>6.6737803655810808</v>
      </c>
    </row>
    <row r="96" spans="1:42" x14ac:dyDescent="0.2">
      <c r="A96" s="79" t="s">
        <v>327</v>
      </c>
      <c r="B96" s="79">
        <v>0.41</v>
      </c>
      <c r="C96" s="79">
        <v>0.75</v>
      </c>
      <c r="D96" s="79"/>
      <c r="E96" s="79"/>
      <c r="F96" s="79"/>
      <c r="G96" s="79"/>
      <c r="H96" s="76"/>
      <c r="I96" s="76"/>
      <c r="J96" s="82"/>
      <c r="K96" s="76"/>
      <c r="L96" s="76"/>
      <c r="M96" s="76"/>
      <c r="N96" s="76"/>
      <c r="O96" s="76"/>
      <c r="P96" s="76"/>
      <c r="Q96" s="76"/>
      <c r="R96" s="76"/>
      <c r="S96" s="76"/>
      <c r="AN96" s="330">
        <v>68.515456482192775</v>
      </c>
      <c r="AO96" s="217">
        <v>5.8336622305198489</v>
      </c>
      <c r="AP96" s="217">
        <v>5.8336622305198489</v>
      </c>
    </row>
    <row r="97" spans="1:42" x14ac:dyDescent="0.2">
      <c r="A97" s="79" t="s">
        <v>328</v>
      </c>
      <c r="B97" s="79">
        <v>0.46</v>
      </c>
      <c r="C97" s="79">
        <v>0.86</v>
      </c>
      <c r="D97" s="79"/>
      <c r="E97" s="79"/>
      <c r="F97" s="79"/>
      <c r="G97" s="79"/>
      <c r="H97" s="76"/>
      <c r="I97" s="76"/>
      <c r="J97" s="82"/>
      <c r="K97" s="76"/>
      <c r="L97" s="76"/>
      <c r="M97" s="76"/>
      <c r="N97" s="76"/>
      <c r="O97" s="76"/>
      <c r="P97" s="76"/>
      <c r="Q97" s="76"/>
      <c r="R97" s="76"/>
      <c r="S97" s="76"/>
      <c r="AN97" s="330">
        <v>69.699562883321761</v>
      </c>
      <c r="AO97" s="217">
        <v>4.9935440954586738</v>
      </c>
      <c r="AP97" s="217">
        <v>4.9935440954586738</v>
      </c>
    </row>
    <row r="98" spans="1:42" x14ac:dyDescent="0.2">
      <c r="A98" s="79" t="s">
        <v>329</v>
      </c>
      <c r="B98" s="80" t="s">
        <v>332</v>
      </c>
      <c r="C98" s="79">
        <v>0.34</v>
      </c>
      <c r="D98" s="79"/>
      <c r="E98" s="79"/>
      <c r="F98" s="79"/>
      <c r="G98" s="79"/>
      <c r="H98" s="76"/>
      <c r="I98" s="76"/>
      <c r="J98" s="82"/>
      <c r="K98" s="76"/>
      <c r="L98" s="76"/>
      <c r="M98" s="76"/>
      <c r="N98" s="76"/>
      <c r="O98" s="76"/>
      <c r="P98" s="76"/>
      <c r="Q98" s="76"/>
      <c r="R98" s="76"/>
      <c r="S98" s="76"/>
      <c r="AN98" s="330">
        <v>70.898118693222628</v>
      </c>
      <c r="AO98" s="217">
        <v>4.1534259603974419</v>
      </c>
      <c r="AP98" s="217">
        <v>4.1534259603974419</v>
      </c>
    </row>
    <row r="99" spans="1:42" x14ac:dyDescent="0.2">
      <c r="A99" s="79" t="s">
        <v>330</v>
      </c>
      <c r="B99" s="79">
        <v>0.2</v>
      </c>
      <c r="C99" s="79">
        <v>0.86</v>
      </c>
      <c r="D99" s="79"/>
      <c r="E99" s="79"/>
      <c r="F99" s="79"/>
      <c r="G99" s="79"/>
      <c r="H99" s="76"/>
      <c r="I99" s="76"/>
      <c r="J99" s="82"/>
      <c r="K99" s="76"/>
      <c r="L99" s="76"/>
      <c r="M99" s="76"/>
      <c r="N99" s="76"/>
      <c r="O99" s="76"/>
      <c r="P99" s="76"/>
      <c r="Q99" s="76"/>
      <c r="R99" s="76"/>
      <c r="S99" s="76"/>
      <c r="AN99" s="330">
        <v>72.111345516105033</v>
      </c>
      <c r="AO99" s="217">
        <v>3.3133078253362669</v>
      </c>
      <c r="AP99" s="217">
        <v>3.3133078253362669</v>
      </c>
    </row>
    <row r="100" spans="1:42" x14ac:dyDescent="0.2">
      <c r="A100" s="79" t="s">
        <v>331</v>
      </c>
      <c r="B100" s="79">
        <v>0.22</v>
      </c>
      <c r="C100" s="79">
        <v>0.8</v>
      </c>
      <c r="D100" s="79"/>
      <c r="E100" s="79"/>
      <c r="F100" s="79"/>
      <c r="G100" s="79"/>
      <c r="H100" s="76"/>
      <c r="I100" s="76"/>
      <c r="J100" s="82"/>
      <c r="K100" s="76"/>
      <c r="L100" s="76"/>
      <c r="M100" s="76"/>
      <c r="N100" s="76"/>
      <c r="O100" s="76"/>
      <c r="P100" s="76"/>
      <c r="Q100" s="76"/>
      <c r="R100" s="76"/>
      <c r="S100" s="76"/>
      <c r="AN100" s="330">
        <v>73.339469060045658</v>
      </c>
      <c r="AO100" s="217">
        <v>2.4731896902750918</v>
      </c>
      <c r="AP100" s="217">
        <v>2.4731896902750918</v>
      </c>
    </row>
    <row r="101" spans="1:42" x14ac:dyDescent="0.2">
      <c r="A101" s="79" t="s">
        <v>162</v>
      </c>
      <c r="B101" s="79"/>
      <c r="C101" s="79"/>
      <c r="D101" s="79"/>
      <c r="E101" s="79"/>
      <c r="F101" s="79"/>
      <c r="G101" s="79"/>
      <c r="H101" s="76"/>
      <c r="I101" s="76"/>
      <c r="J101" s="82"/>
      <c r="K101" s="76"/>
      <c r="L101" s="76"/>
      <c r="M101" s="76"/>
      <c r="N101" s="76"/>
      <c r="O101" s="76"/>
      <c r="P101" s="76"/>
      <c r="Q101" s="76"/>
      <c r="R101" s="76"/>
      <c r="S101" s="76"/>
      <c r="AN101" s="330">
        <v>74.582719226289768</v>
      </c>
      <c r="AO101" s="217">
        <v>1.6330715552138599</v>
      </c>
      <c r="AP101" s="217">
        <v>1.6330715552138599</v>
      </c>
    </row>
    <row r="102" spans="1:42" x14ac:dyDescent="0.2">
      <c r="A102" s="79" t="s">
        <v>352</v>
      </c>
      <c r="B102" s="79"/>
      <c r="C102" s="79"/>
      <c r="D102" s="79"/>
      <c r="E102" s="79"/>
      <c r="F102" s="79"/>
      <c r="G102" s="79"/>
      <c r="H102" s="76"/>
      <c r="I102" s="76"/>
      <c r="J102" s="82"/>
      <c r="K102" s="76"/>
      <c r="L102" s="76"/>
      <c r="M102" s="76"/>
      <c r="N102" s="76"/>
      <c r="O102" s="76"/>
      <c r="P102" s="76"/>
      <c r="Q102" s="76"/>
      <c r="R102" s="76"/>
      <c r="S102" s="76"/>
    </row>
    <row r="103" spans="1:42" x14ac:dyDescent="0.2">
      <c r="A103" s="79"/>
      <c r="B103" s="79"/>
      <c r="C103" s="79"/>
      <c r="D103" s="79"/>
      <c r="E103" s="79"/>
      <c r="F103" s="79"/>
      <c r="G103" s="79"/>
      <c r="H103" s="76"/>
      <c r="I103" s="76"/>
      <c r="J103" s="82"/>
      <c r="K103" s="76"/>
      <c r="L103" s="76"/>
      <c r="M103" s="76"/>
      <c r="N103" s="76"/>
      <c r="O103" s="76"/>
      <c r="P103" s="76"/>
      <c r="Q103" s="76"/>
      <c r="R103" s="76"/>
      <c r="S103" s="76"/>
    </row>
    <row r="104" spans="1:42" x14ac:dyDescent="0.2">
      <c r="A104" s="79"/>
      <c r="B104" s="79"/>
      <c r="C104" s="79"/>
      <c r="D104" s="79"/>
      <c r="E104" s="79"/>
      <c r="F104" s="79"/>
      <c r="G104" s="79"/>
      <c r="H104" s="76"/>
      <c r="I104" s="76"/>
      <c r="J104" s="82"/>
      <c r="K104" s="76"/>
      <c r="L104" s="76"/>
      <c r="M104" s="76"/>
      <c r="N104" s="76"/>
      <c r="O104" s="76"/>
      <c r="P104" s="76"/>
      <c r="Q104" s="76"/>
      <c r="R104" s="76"/>
      <c r="S104" s="76"/>
    </row>
    <row r="105" spans="1:42" x14ac:dyDescent="0.2">
      <c r="A105" s="76"/>
      <c r="B105" s="76"/>
      <c r="C105" s="76"/>
      <c r="D105" s="76"/>
      <c r="E105" s="82"/>
      <c r="F105" s="76"/>
      <c r="G105" s="76"/>
      <c r="H105" s="76"/>
      <c r="I105" s="76"/>
      <c r="J105" s="82"/>
      <c r="K105" s="76"/>
      <c r="L105" s="76"/>
      <c r="M105" s="76"/>
      <c r="N105" s="76"/>
      <c r="O105" s="76"/>
      <c r="P105" s="76"/>
      <c r="Q105" s="76"/>
      <c r="R105" s="76"/>
      <c r="S105" s="76"/>
    </row>
    <row r="106" spans="1:42" x14ac:dyDescent="0.2">
      <c r="A106" s="76"/>
      <c r="B106" s="76"/>
      <c r="C106" s="76"/>
      <c r="D106" s="76"/>
      <c r="E106" s="82"/>
      <c r="F106" s="76"/>
      <c r="G106" s="76"/>
      <c r="H106" s="76"/>
      <c r="I106" s="76"/>
      <c r="J106" s="82"/>
      <c r="K106" s="76"/>
      <c r="L106" s="76"/>
      <c r="M106" s="76"/>
      <c r="N106" s="76"/>
      <c r="O106" s="76"/>
      <c r="P106" s="76"/>
      <c r="Q106" s="76"/>
      <c r="R106" s="76"/>
      <c r="S106" s="76"/>
    </row>
    <row r="107" spans="1:42" x14ac:dyDescent="0.2">
      <c r="A107" s="76"/>
      <c r="B107" s="76"/>
      <c r="C107" s="76"/>
      <c r="D107" s="76"/>
      <c r="E107" s="82"/>
      <c r="F107" s="76"/>
      <c r="G107" s="76"/>
      <c r="H107" s="76"/>
      <c r="I107" s="76"/>
      <c r="J107" s="82"/>
      <c r="K107" s="76"/>
      <c r="L107" s="76"/>
      <c r="M107" s="76"/>
      <c r="N107" s="76"/>
      <c r="O107" s="76"/>
      <c r="P107" s="76"/>
      <c r="Q107" s="76"/>
      <c r="R107" s="76"/>
      <c r="S107" s="76"/>
    </row>
    <row r="108" spans="1:42" x14ac:dyDescent="0.2">
      <c r="A108" s="76"/>
      <c r="B108" s="76"/>
      <c r="C108" s="76"/>
      <c r="D108" s="76"/>
      <c r="E108" s="82"/>
      <c r="F108" s="76"/>
      <c r="G108" s="76"/>
      <c r="H108" s="76"/>
      <c r="I108" s="76"/>
      <c r="J108" s="82"/>
      <c r="K108" s="76"/>
      <c r="L108" s="76"/>
      <c r="M108" s="76"/>
      <c r="N108" s="76"/>
      <c r="O108" s="76"/>
      <c r="P108" s="76"/>
      <c r="Q108" s="76"/>
      <c r="R108" s="76"/>
      <c r="S108" s="76"/>
    </row>
    <row r="109" spans="1:42" x14ac:dyDescent="0.2">
      <c r="A109" s="76"/>
      <c r="B109" s="76"/>
      <c r="C109" s="76"/>
      <c r="D109" s="76"/>
      <c r="E109" s="82"/>
      <c r="F109" s="76"/>
      <c r="G109" s="76"/>
      <c r="H109" s="76"/>
      <c r="I109" s="76"/>
      <c r="J109" s="82"/>
      <c r="K109" s="76"/>
      <c r="L109" s="76"/>
      <c r="M109" s="76"/>
      <c r="N109" s="76"/>
      <c r="O109" s="76"/>
      <c r="P109" s="76"/>
      <c r="Q109" s="76"/>
      <c r="R109" s="76"/>
      <c r="S109" s="76"/>
    </row>
    <row r="110" spans="1:42" x14ac:dyDescent="0.2">
      <c r="A110" s="76"/>
      <c r="B110" s="76"/>
      <c r="C110" s="76"/>
      <c r="D110" s="76"/>
      <c r="E110" s="82"/>
      <c r="F110" s="76"/>
      <c r="G110" s="76"/>
      <c r="H110" s="76"/>
      <c r="I110" s="76"/>
      <c r="J110" s="82"/>
      <c r="K110" s="76"/>
      <c r="L110" s="76"/>
      <c r="M110" s="76"/>
      <c r="N110" s="76"/>
      <c r="O110" s="76"/>
      <c r="P110" s="76"/>
      <c r="Q110" s="76"/>
      <c r="R110" s="76"/>
      <c r="S110" s="76"/>
    </row>
    <row r="111" spans="1:42" x14ac:dyDescent="0.2">
      <c r="A111" s="76"/>
      <c r="B111" s="76"/>
      <c r="C111" s="76"/>
      <c r="D111" s="76"/>
      <c r="E111" s="82"/>
      <c r="F111" s="76"/>
      <c r="G111" s="76"/>
      <c r="H111" s="76"/>
      <c r="I111" s="76"/>
      <c r="J111" s="82"/>
      <c r="K111" s="76"/>
      <c r="L111" s="76"/>
      <c r="M111" s="76"/>
      <c r="N111" s="76"/>
      <c r="O111" s="76"/>
      <c r="P111" s="76"/>
      <c r="Q111" s="76"/>
      <c r="R111" s="76"/>
      <c r="S111" s="76"/>
    </row>
    <row r="112" spans="1:42" x14ac:dyDescent="0.2">
      <c r="A112" s="76"/>
      <c r="B112" s="76"/>
      <c r="C112" s="76"/>
      <c r="D112" s="76"/>
      <c r="E112" s="82"/>
      <c r="F112" s="76"/>
      <c r="G112" s="76"/>
      <c r="H112" s="76"/>
      <c r="I112" s="76"/>
      <c r="J112" s="82"/>
      <c r="K112" s="76"/>
      <c r="L112" s="76"/>
      <c r="M112" s="76"/>
      <c r="N112" s="76"/>
      <c r="O112" s="76"/>
      <c r="P112" s="76"/>
      <c r="Q112" s="76"/>
      <c r="R112" s="76"/>
      <c r="S112" s="76"/>
    </row>
    <row r="113" spans="1:19" x14ac:dyDescent="0.2">
      <c r="A113" s="76"/>
      <c r="B113" s="76"/>
      <c r="C113" s="76"/>
      <c r="D113" s="76"/>
      <c r="E113" s="82"/>
      <c r="F113" s="76"/>
      <c r="G113" s="76"/>
      <c r="H113" s="76"/>
      <c r="I113" s="76"/>
      <c r="J113" s="82"/>
      <c r="K113" s="76"/>
      <c r="L113" s="76"/>
      <c r="M113" s="76"/>
      <c r="N113" s="76"/>
      <c r="O113" s="76"/>
      <c r="P113" s="76"/>
      <c r="Q113" s="76"/>
      <c r="R113" s="76"/>
      <c r="S113" s="76"/>
    </row>
    <row r="114" spans="1:19" x14ac:dyDescent="0.2">
      <c r="A114" s="76"/>
      <c r="B114" s="76"/>
      <c r="C114" s="76"/>
      <c r="D114" s="76"/>
      <c r="E114" s="82"/>
      <c r="F114" s="76"/>
      <c r="G114" s="76"/>
      <c r="H114" s="76"/>
      <c r="I114" s="76"/>
      <c r="J114" s="82"/>
      <c r="K114" s="76"/>
      <c r="L114" s="76"/>
      <c r="M114" s="76"/>
      <c r="N114" s="76"/>
      <c r="O114" s="76"/>
      <c r="P114" s="76"/>
      <c r="Q114" s="76"/>
      <c r="R114" s="76"/>
      <c r="S114" s="76"/>
    </row>
    <row r="115" spans="1:19" x14ac:dyDescent="0.2">
      <c r="A115" s="76"/>
      <c r="B115" s="76"/>
      <c r="C115" s="76"/>
      <c r="D115" s="76"/>
      <c r="E115" s="82"/>
      <c r="F115" s="76"/>
      <c r="G115" s="76"/>
      <c r="H115" s="76"/>
      <c r="I115" s="76"/>
      <c r="J115" s="82"/>
      <c r="K115" s="76"/>
      <c r="L115" s="76"/>
      <c r="M115" s="76"/>
      <c r="N115" s="76"/>
      <c r="O115" s="76"/>
      <c r="P115" s="76"/>
      <c r="Q115" s="76"/>
      <c r="R115" s="76"/>
      <c r="S115" s="76"/>
    </row>
    <row r="116" spans="1:19" x14ac:dyDescent="0.2">
      <c r="A116" s="76"/>
      <c r="B116" s="76"/>
      <c r="C116" s="76"/>
      <c r="D116" s="76"/>
      <c r="E116" s="82"/>
      <c r="F116" s="76"/>
      <c r="G116" s="76"/>
      <c r="H116" s="76"/>
      <c r="I116" s="76"/>
      <c r="J116" s="82"/>
      <c r="K116" s="76"/>
      <c r="L116" s="76"/>
      <c r="M116" s="76"/>
      <c r="N116" s="76"/>
      <c r="O116" s="76"/>
      <c r="P116" s="76"/>
      <c r="Q116" s="76"/>
      <c r="R116" s="76"/>
      <c r="S116" s="76"/>
    </row>
    <row r="117" spans="1:19" x14ac:dyDescent="0.2">
      <c r="A117" s="76"/>
      <c r="B117" s="76"/>
      <c r="C117" s="76"/>
      <c r="D117" s="76"/>
      <c r="E117" s="82"/>
      <c r="F117" s="76"/>
      <c r="G117" s="76"/>
      <c r="H117" s="76"/>
      <c r="I117" s="76"/>
      <c r="J117" s="82"/>
      <c r="K117" s="76"/>
      <c r="L117" s="76"/>
      <c r="M117" s="76"/>
      <c r="N117" s="76"/>
      <c r="O117" s="76"/>
      <c r="P117" s="76"/>
      <c r="Q117" s="76"/>
      <c r="R117" s="76"/>
      <c r="S117" s="76"/>
    </row>
    <row r="118" spans="1:19" x14ac:dyDescent="0.2">
      <c r="A118" s="76"/>
      <c r="B118" s="76"/>
      <c r="C118" s="76"/>
      <c r="D118" s="76"/>
      <c r="E118" s="82"/>
      <c r="F118" s="76"/>
      <c r="G118" s="76"/>
      <c r="H118" s="76"/>
      <c r="I118" s="76"/>
      <c r="J118" s="82"/>
      <c r="K118" s="76"/>
      <c r="L118" s="76"/>
      <c r="M118" s="76"/>
      <c r="N118" s="76"/>
      <c r="O118" s="76"/>
      <c r="P118" s="76"/>
      <c r="Q118" s="76"/>
      <c r="R118" s="76"/>
      <c r="S118" s="76"/>
    </row>
    <row r="119" spans="1:19" x14ac:dyDescent="0.2">
      <c r="B119" s="76"/>
      <c r="C119" s="76"/>
      <c r="D119" s="76"/>
      <c r="E119" s="82"/>
      <c r="F119" s="76"/>
      <c r="G119" s="76"/>
      <c r="H119" s="76"/>
      <c r="I119" s="76"/>
      <c r="J119" s="82"/>
      <c r="K119" s="76"/>
      <c r="L119" s="76"/>
      <c r="M119" s="76"/>
      <c r="N119" s="76"/>
      <c r="O119" s="76"/>
      <c r="P119" s="76"/>
      <c r="Q119" s="76"/>
      <c r="R119" s="76"/>
      <c r="S119" s="76"/>
    </row>
    <row r="120" spans="1:19" x14ac:dyDescent="0.2">
      <c r="B120" s="76"/>
      <c r="C120" s="76"/>
      <c r="D120" s="76"/>
      <c r="E120" s="82"/>
      <c r="F120" s="76"/>
      <c r="G120" s="76"/>
      <c r="H120" s="76"/>
      <c r="I120" s="76"/>
      <c r="J120" s="82"/>
      <c r="K120" s="76"/>
      <c r="L120" s="76"/>
      <c r="M120" s="76"/>
      <c r="N120" s="76"/>
      <c r="O120" s="76"/>
      <c r="P120" s="76"/>
      <c r="Q120" s="76"/>
      <c r="R120" s="76"/>
      <c r="S120" s="76"/>
    </row>
    <row r="121" spans="1:19" x14ac:dyDescent="0.2">
      <c r="B121" s="76"/>
      <c r="C121" s="76"/>
      <c r="D121" s="76"/>
      <c r="E121" s="82"/>
      <c r="F121" s="76"/>
      <c r="G121" s="76"/>
      <c r="H121" s="76"/>
      <c r="I121" s="76"/>
      <c r="J121" s="82"/>
      <c r="K121" s="76"/>
      <c r="L121" s="76"/>
      <c r="M121" s="76"/>
      <c r="N121" s="76"/>
      <c r="O121" s="76"/>
      <c r="P121" s="76"/>
      <c r="Q121" s="76"/>
      <c r="R121" s="76"/>
      <c r="S121" s="76"/>
    </row>
    <row r="122" spans="1:19" x14ac:dyDescent="0.2">
      <c r="B122" s="76"/>
      <c r="C122" s="76"/>
      <c r="D122" s="76"/>
      <c r="E122" s="82"/>
      <c r="F122" s="76"/>
      <c r="G122" s="76"/>
      <c r="H122" s="76"/>
      <c r="I122" s="76"/>
      <c r="J122" s="82"/>
      <c r="K122" s="76"/>
      <c r="L122" s="76"/>
      <c r="M122" s="76"/>
      <c r="N122" s="76"/>
      <c r="O122" s="76"/>
      <c r="P122" s="76"/>
      <c r="Q122" s="76"/>
      <c r="R122" s="76"/>
      <c r="S122" s="76"/>
    </row>
    <row r="123" spans="1:19" x14ac:dyDescent="0.2">
      <c r="B123" s="76"/>
      <c r="C123" s="76"/>
      <c r="D123" s="76"/>
      <c r="E123" s="82"/>
      <c r="F123" s="76"/>
      <c r="G123" s="76"/>
      <c r="H123" s="76"/>
      <c r="I123" s="76"/>
      <c r="J123" s="82"/>
      <c r="K123" s="76"/>
      <c r="L123" s="76"/>
      <c r="M123" s="76"/>
      <c r="N123" s="76"/>
      <c r="O123" s="76"/>
      <c r="P123" s="76"/>
      <c r="Q123" s="76"/>
      <c r="R123" s="76"/>
      <c r="S123" s="76"/>
    </row>
    <row r="124" spans="1:19" x14ac:dyDescent="0.2">
      <c r="B124" s="76"/>
      <c r="C124" s="76"/>
      <c r="D124" s="76"/>
      <c r="E124" s="82"/>
      <c r="F124" s="76"/>
      <c r="G124" s="76"/>
      <c r="H124" s="76"/>
      <c r="I124" s="76"/>
      <c r="J124" s="82"/>
      <c r="K124" s="76"/>
      <c r="L124" s="76"/>
      <c r="M124" s="76"/>
      <c r="N124" s="76"/>
      <c r="O124" s="76"/>
      <c r="P124" s="76"/>
      <c r="Q124" s="76"/>
      <c r="R124" s="76"/>
      <c r="S124" s="76"/>
    </row>
    <row r="125" spans="1:19" x14ac:dyDescent="0.2">
      <c r="B125" s="76"/>
      <c r="C125" s="76"/>
      <c r="D125" s="76"/>
      <c r="E125" s="82"/>
      <c r="F125" s="76"/>
      <c r="G125" s="76"/>
      <c r="H125" s="76"/>
      <c r="I125" s="76"/>
      <c r="J125" s="82"/>
      <c r="K125" s="76"/>
      <c r="L125" s="76"/>
      <c r="M125" s="76"/>
      <c r="N125" s="76"/>
      <c r="O125" s="76"/>
      <c r="P125" s="76"/>
      <c r="Q125" s="76"/>
      <c r="R125" s="76"/>
      <c r="S125" s="76"/>
    </row>
    <row r="126" spans="1:19" x14ac:dyDescent="0.2">
      <c r="B126" s="76"/>
      <c r="C126" s="76"/>
      <c r="D126" s="76"/>
      <c r="E126" s="82"/>
      <c r="F126" s="76"/>
      <c r="G126" s="76"/>
      <c r="H126" s="76"/>
      <c r="I126" s="76"/>
      <c r="J126" s="82"/>
      <c r="K126" s="76"/>
      <c r="L126" s="76"/>
      <c r="M126" s="76"/>
      <c r="N126" s="76"/>
      <c r="O126" s="76"/>
      <c r="P126" s="76"/>
      <c r="Q126" s="76"/>
      <c r="R126" s="76"/>
      <c r="S126" s="76"/>
    </row>
    <row r="127" spans="1:19" x14ac:dyDescent="0.2">
      <c r="B127" s="76"/>
      <c r="C127" s="76"/>
      <c r="D127" s="76"/>
      <c r="E127" s="82"/>
      <c r="F127" s="76"/>
      <c r="G127" s="76"/>
      <c r="H127" s="76"/>
      <c r="I127" s="76"/>
      <c r="J127" s="82"/>
      <c r="K127" s="76"/>
      <c r="L127" s="76"/>
      <c r="M127" s="76"/>
      <c r="N127" s="76"/>
      <c r="O127" s="76"/>
      <c r="P127" s="76"/>
      <c r="Q127" s="76"/>
      <c r="R127" s="76"/>
      <c r="S127" s="76"/>
    </row>
    <row r="128" spans="1:19" x14ac:dyDescent="0.2">
      <c r="B128" s="76"/>
      <c r="C128" s="76"/>
      <c r="D128" s="76"/>
      <c r="E128" s="82"/>
      <c r="F128" s="76"/>
      <c r="G128" s="76"/>
      <c r="H128" s="76"/>
      <c r="I128" s="76"/>
      <c r="J128" s="82"/>
      <c r="K128" s="76"/>
      <c r="L128" s="76"/>
      <c r="M128" s="76"/>
      <c r="N128" s="76"/>
      <c r="O128" s="76"/>
      <c r="P128" s="76"/>
      <c r="Q128" s="76"/>
      <c r="R128" s="76"/>
      <c r="S128" s="76"/>
    </row>
    <row r="129" spans="2:19" x14ac:dyDescent="0.2">
      <c r="B129" s="76"/>
      <c r="C129" s="76"/>
      <c r="D129" s="76"/>
      <c r="E129" s="82"/>
      <c r="F129" s="76"/>
      <c r="G129" s="76"/>
      <c r="H129" s="76"/>
      <c r="I129" s="76"/>
      <c r="J129" s="82"/>
      <c r="K129" s="76"/>
      <c r="L129" s="76"/>
      <c r="M129" s="76"/>
      <c r="N129" s="76"/>
      <c r="O129" s="76"/>
      <c r="P129" s="76"/>
      <c r="Q129" s="76"/>
      <c r="R129" s="76"/>
      <c r="S129" s="76"/>
    </row>
  </sheetData>
  <mergeCells count="11">
    <mergeCell ref="B46:J46"/>
    <mergeCell ref="B15:J15"/>
    <mergeCell ref="B6:J6"/>
    <mergeCell ref="B3:J3"/>
    <mergeCell ref="L5:Y5"/>
    <mergeCell ref="L33:Y33"/>
    <mergeCell ref="L8:Y8"/>
    <mergeCell ref="A2:K2"/>
    <mergeCell ref="B40:J40"/>
    <mergeCell ref="B34:J34"/>
    <mergeCell ref="B5:J5"/>
  </mergeCells>
  <phoneticPr fontId="0" type="noConversion"/>
  <conditionalFormatting sqref="I8">
    <cfRule type="expression" dxfId="0" priority="1">
      <formula>AND(LEFT($C$23,10)="Aluminized",$I$8&lt;&gt;"Kapton")</formula>
    </cfRule>
  </conditionalFormatting>
  <dataValidations count="4">
    <dataValidation type="list" allowBlank="1" showInputMessage="1" showErrorMessage="1" sqref="I8">
      <formula1>IF(LEFT(C23,4)&lt;&gt;"Alum",$AA$25:$AA$36, $AA$35)</formula1>
    </dataValidation>
    <dataValidation type="list" allowBlank="1" showInputMessage="1" showErrorMessage="1" sqref="I14">
      <formula1>$F$74:$F$75</formula1>
    </dataValidation>
    <dataValidation type="list" allowBlank="1" showInputMessage="1" showErrorMessage="1" promptTitle="Select Surface Finshises" sqref="C23">
      <formula1>IF($C$14="Deployable SA",$A$82:$A$101,$A$102)</formula1>
    </dataValidation>
    <dataValidation type="list" allowBlank="1" showInputMessage="1" showErrorMessage="1" sqref="C14">
      <formula1>$B$71:$B$72</formula1>
    </dataValidation>
  </dataValidations>
  <pageMargins left="0.75" right="0.75" top="1" bottom="1" header="0.5" footer="0.5"/>
  <pageSetup orientation="landscape" horizont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7" r:id="rId4" name="Button 35">
              <controlPr defaultSize="0" print="0" autoFill="0" autoPict="0" macro="[0]!VarMax">
                <anchor moveWithCells="1" sizeWithCells="1">
                  <from>
                    <xdr:col>14</xdr:col>
                    <xdr:colOff>438150</xdr:colOff>
                    <xdr:row>5</xdr:row>
                    <xdr:rowOff>47625</xdr:rowOff>
                  </from>
                  <to>
                    <xdr:col>16</xdr:col>
                    <xdr:colOff>542925</xdr:colOff>
                    <xdr:row>6</xdr:row>
                    <xdr:rowOff>142875</xdr:rowOff>
                  </to>
                </anchor>
              </controlPr>
            </control>
          </mc:Choice>
        </mc:AlternateContent>
        <mc:AlternateContent xmlns:mc="http://schemas.openxmlformats.org/markup-compatibility/2006">
          <mc:Choice Requires="x14">
            <control shapeId="3119" r:id="rId5" name="Button 47">
              <controlPr defaultSize="0" print="0" autoFill="0" autoPict="0" macro="[0]!AlphaEpsVarMin">
                <anchor moveWithCells="1" sizeWithCells="1">
                  <from>
                    <xdr:col>17</xdr:col>
                    <xdr:colOff>9525</xdr:colOff>
                    <xdr:row>5</xdr:row>
                    <xdr:rowOff>38100</xdr:rowOff>
                  </from>
                  <to>
                    <xdr:col>19</xdr:col>
                    <xdr:colOff>209550</xdr:colOff>
                    <xdr:row>6</xdr:row>
                    <xdr:rowOff>142875</xdr:rowOff>
                  </to>
                </anchor>
              </controlPr>
            </control>
          </mc:Choice>
        </mc:AlternateContent>
        <mc:AlternateContent xmlns:mc="http://schemas.openxmlformats.org/markup-compatibility/2006">
          <mc:Choice Requires="x14">
            <control shapeId="3120" r:id="rId6" name="Button 48">
              <controlPr defaultSize="0" print="0" autoFill="0" autoPict="0" macro="[0]!EclipseIntegralVar">
                <anchor moveWithCells="1" sizeWithCells="1">
                  <from>
                    <xdr:col>19</xdr:col>
                    <xdr:colOff>266700</xdr:colOff>
                    <xdr:row>5</xdr:row>
                    <xdr:rowOff>38100</xdr:rowOff>
                  </from>
                  <to>
                    <xdr:col>22</xdr:col>
                    <xdr:colOff>581025</xdr:colOff>
                    <xdr:row>6</xdr:row>
                    <xdr:rowOff>142875</xdr:rowOff>
                  </to>
                </anchor>
              </controlPr>
            </control>
          </mc:Choice>
        </mc:AlternateContent>
        <mc:AlternateContent xmlns:mc="http://schemas.openxmlformats.org/markup-compatibility/2006">
          <mc:Choice Requires="x14">
            <control shapeId="3121" r:id="rId7" name="Button 49">
              <controlPr defaultSize="0" print="0" autoFill="0" autoPict="0" macro="[0]!UpdateAllGraphs">
                <anchor moveWithCells="1" sizeWithCells="1">
                  <from>
                    <xdr:col>11</xdr:col>
                    <xdr:colOff>66675</xdr:colOff>
                    <xdr:row>5</xdr:row>
                    <xdr:rowOff>47625</xdr:rowOff>
                  </from>
                  <to>
                    <xdr:col>14</xdr:col>
                    <xdr:colOff>342900</xdr:colOff>
                    <xdr:row>6</xdr:row>
                    <xdr:rowOff>142875</xdr:rowOff>
                  </to>
                </anchor>
              </controlPr>
            </control>
          </mc:Choice>
        </mc:AlternateContent>
        <mc:AlternateContent xmlns:mc="http://schemas.openxmlformats.org/markup-compatibility/2006">
          <mc:Choice Requires="x14">
            <control shapeId="3122" r:id="rId8" name="Button 50">
              <controlPr defaultSize="0" print="0" autoFill="0" autoPict="0" macro="[0]!EclipseIntegralTCS">
                <anchor moveWithCells="1" sizeWithCells="1">
                  <from>
                    <xdr:col>22</xdr:col>
                    <xdr:colOff>600075</xdr:colOff>
                    <xdr:row>5</xdr:row>
                    <xdr:rowOff>66675</xdr:rowOff>
                  </from>
                  <to>
                    <xdr:col>24</xdr:col>
                    <xdr:colOff>685800</xdr:colOff>
                    <xdr:row>6</xdr:row>
                    <xdr:rowOff>142875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Constants!$K$30:$K$39</xm:f>
          </x14:formula1>
          <xm:sqref>I13</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3" tint="0.39997558519241921"/>
  </sheetPr>
  <dimension ref="A1:B3"/>
  <sheetViews>
    <sheetView showGridLines="0" workbookViewId="0">
      <selection activeCell="H20" sqref="H20"/>
    </sheetView>
  </sheetViews>
  <sheetFormatPr defaultRowHeight="12.75" x14ac:dyDescent="0.2"/>
  <cols>
    <col min="1" max="1" width="22" bestFit="1" customWidth="1"/>
    <col min="2" max="2" width="4.1640625" bestFit="1" customWidth="1"/>
    <col min="7" max="7" width="13.83203125" customWidth="1"/>
    <col min="12" max="12" width="11.33203125" customWidth="1"/>
  </cols>
  <sheetData>
    <row r="1" spans="1:2" ht="15" x14ac:dyDescent="0.25">
      <c r="A1" s="81" t="s">
        <v>185</v>
      </c>
      <c r="B1" s="81">
        <v>0.05</v>
      </c>
    </row>
    <row r="2" spans="1:2" ht="15" x14ac:dyDescent="0.25">
      <c r="A2" s="81" t="s">
        <v>187</v>
      </c>
      <c r="B2" s="81">
        <v>2</v>
      </c>
    </row>
    <row r="3" spans="1:2" ht="15" x14ac:dyDescent="0.25">
      <c r="A3" s="81" t="s">
        <v>186</v>
      </c>
      <c r="B3" s="81">
        <v>100</v>
      </c>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39937" r:id="rId3" name="Button 1">
              <controlPr defaultSize="0" print="0" autoFill="0" autoPict="0" macro="[0]!MLI.MLI">
                <anchor moveWithCells="1" sizeWithCells="1">
                  <from>
                    <xdr:col>0</xdr:col>
                    <xdr:colOff>47625</xdr:colOff>
                    <xdr:row>3</xdr:row>
                    <xdr:rowOff>161925</xdr:rowOff>
                  </from>
                  <to>
                    <xdr:col>1</xdr:col>
                    <xdr:colOff>247650</xdr:colOff>
                    <xdr:row>5</xdr:row>
                    <xdr:rowOff>47625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8">
    <tabColor theme="3" tint="0.39997558519241921"/>
    <pageSetUpPr fitToPage="1"/>
  </sheetPr>
  <dimension ref="A1:K38"/>
  <sheetViews>
    <sheetView workbookViewId="0">
      <selection activeCell="E40" sqref="E40"/>
    </sheetView>
  </sheetViews>
  <sheetFormatPr defaultColWidth="9.33203125" defaultRowHeight="12.75" x14ac:dyDescent="0.2"/>
  <cols>
    <col min="1" max="1" width="9.33203125" style="3"/>
    <col min="2" max="2" width="38.83203125" style="3" customWidth="1"/>
    <col min="3" max="4" width="12.83203125" style="3" customWidth="1"/>
    <col min="5" max="5" width="7.83203125" style="2" customWidth="1"/>
    <col min="6" max="6" width="5.83203125" style="3" customWidth="1"/>
    <col min="7" max="7" width="33.83203125" style="3" customWidth="1"/>
    <col min="8" max="9" width="11.83203125" style="3" customWidth="1"/>
    <col min="10" max="10" width="9.83203125" style="2" customWidth="1"/>
    <col min="11" max="16384" width="9.33203125" style="3"/>
  </cols>
  <sheetData>
    <row r="1" spans="1:11" ht="30" customHeight="1" x14ac:dyDescent="0.3">
      <c r="A1" s="5"/>
      <c r="B1" s="6"/>
      <c r="C1" s="7"/>
      <c r="D1" s="7"/>
      <c r="E1" s="8"/>
      <c r="F1" s="7"/>
      <c r="G1" s="7"/>
      <c r="H1" s="7"/>
      <c r="I1" s="7" t="s">
        <v>12</v>
      </c>
      <c r="J1" s="9"/>
      <c r="K1" s="5"/>
    </row>
    <row r="2" spans="1:11" ht="13.5" customHeight="1" x14ac:dyDescent="0.25">
      <c r="A2" s="348" t="s">
        <v>50</v>
      </c>
      <c r="B2" s="349"/>
      <c r="C2" s="349"/>
      <c r="D2" s="349"/>
      <c r="E2" s="349"/>
      <c r="F2" s="349"/>
      <c r="G2" s="349"/>
      <c r="H2" s="349"/>
      <c r="I2" s="349"/>
      <c r="J2" s="349"/>
      <c r="K2" s="349"/>
    </row>
    <row r="3" spans="1:11" ht="13.5" customHeight="1" x14ac:dyDescent="0.2">
      <c r="A3" s="5"/>
      <c r="B3" s="53" t="s">
        <v>177</v>
      </c>
      <c r="C3" s="52" t="s">
        <v>178</v>
      </c>
      <c r="D3" s="5"/>
      <c r="E3" s="5"/>
      <c r="F3" s="5"/>
      <c r="G3" s="5"/>
      <c r="H3" s="5"/>
      <c r="I3" s="5"/>
      <c r="J3" s="5"/>
      <c r="K3" s="5"/>
    </row>
    <row r="4" spans="1:11" ht="13.5" customHeight="1" thickBot="1" x14ac:dyDescent="0.25">
      <c r="A4" s="5"/>
      <c r="B4" s="5"/>
      <c r="C4" s="5"/>
      <c r="D4" s="5"/>
      <c r="E4" s="9"/>
      <c r="F4" s="5"/>
      <c r="G4" s="5"/>
      <c r="H4" s="5"/>
      <c r="I4" s="5"/>
      <c r="J4" s="9"/>
      <c r="K4" s="5"/>
    </row>
    <row r="5" spans="1:11" ht="13.5" customHeight="1" thickTop="1" x14ac:dyDescent="0.2">
      <c r="A5" s="5"/>
      <c r="B5" s="353" t="s">
        <v>68</v>
      </c>
      <c r="C5" s="354"/>
      <c r="D5" s="354"/>
      <c r="E5" s="354"/>
      <c r="F5" s="354"/>
      <c r="G5" s="354"/>
      <c r="H5" s="354"/>
      <c r="I5" s="354"/>
      <c r="J5" s="355"/>
      <c r="K5" s="5"/>
    </row>
    <row r="6" spans="1:11" ht="13.5" customHeight="1" x14ac:dyDescent="0.2">
      <c r="A6" s="5"/>
      <c r="B6" s="28"/>
      <c r="C6" s="23"/>
      <c r="D6" s="23"/>
      <c r="E6" s="22"/>
      <c r="F6" s="23"/>
      <c r="G6" s="23"/>
      <c r="H6" s="23"/>
      <c r="I6" s="23"/>
      <c r="J6" s="29"/>
      <c r="K6" s="5"/>
    </row>
    <row r="7" spans="1:11" ht="13.5" customHeight="1" x14ac:dyDescent="0.2">
      <c r="A7" s="5"/>
      <c r="B7" s="361" t="s">
        <v>172</v>
      </c>
      <c r="C7" s="362"/>
      <c r="D7" s="362"/>
      <c r="E7" s="362"/>
      <c r="F7" s="362"/>
      <c r="G7" s="362"/>
      <c r="H7" s="362"/>
      <c r="I7" s="362"/>
      <c r="J7" s="363"/>
      <c r="K7" s="5"/>
    </row>
    <row r="8" spans="1:11" ht="13.5" customHeight="1" x14ac:dyDescent="0.2">
      <c r="A8" s="5"/>
      <c r="B8" s="65" t="s">
        <v>0</v>
      </c>
      <c r="C8" s="66" t="s">
        <v>175</v>
      </c>
      <c r="D8" s="67">
        <f>'Thermal Control - Spherical'!D7</f>
        <v>100</v>
      </c>
      <c r="E8" s="68" t="s">
        <v>1</v>
      </c>
      <c r="F8" s="69"/>
      <c r="G8" s="69" t="s">
        <v>11</v>
      </c>
      <c r="H8" s="67"/>
      <c r="I8" s="67"/>
      <c r="J8" s="70"/>
      <c r="K8" s="5"/>
    </row>
    <row r="9" spans="1:11" ht="13.5" customHeight="1" x14ac:dyDescent="0.2">
      <c r="A9" s="5"/>
      <c r="B9" s="65" t="s">
        <v>2</v>
      </c>
      <c r="C9" s="66" t="s">
        <v>175</v>
      </c>
      <c r="D9" s="67">
        <f>'Thermal Control - Spherical'!D8</f>
        <v>0</v>
      </c>
      <c r="E9" s="68" t="s">
        <v>1</v>
      </c>
      <c r="F9" s="69"/>
      <c r="G9" s="69"/>
      <c r="H9" s="69"/>
      <c r="I9" s="69"/>
      <c r="J9" s="70"/>
      <c r="K9" s="5"/>
    </row>
    <row r="10" spans="1:11" ht="13.5" customHeight="1" x14ac:dyDescent="0.2">
      <c r="A10" s="5"/>
      <c r="B10" s="65" t="s">
        <v>6</v>
      </c>
      <c r="C10" s="66" t="s">
        <v>176</v>
      </c>
      <c r="D10" s="67"/>
      <c r="E10" s="68" t="s">
        <v>54</v>
      </c>
      <c r="F10" s="69"/>
      <c r="G10" s="69"/>
      <c r="H10" s="69"/>
      <c r="I10" s="69"/>
      <c r="J10" s="70"/>
      <c r="K10" s="5"/>
    </row>
    <row r="11" spans="1:11" ht="13.5" customHeight="1" x14ac:dyDescent="0.2">
      <c r="A11" s="5"/>
      <c r="B11" s="65" t="s">
        <v>7</v>
      </c>
      <c r="C11" s="66" t="s">
        <v>173</v>
      </c>
      <c r="D11" s="67"/>
      <c r="E11" s="68" t="s">
        <v>152</v>
      </c>
      <c r="F11" s="69"/>
      <c r="G11" s="69"/>
      <c r="H11" s="69"/>
      <c r="I11" s="69"/>
      <c r="J11" s="70"/>
      <c r="K11" s="5"/>
    </row>
    <row r="12" spans="1:11" ht="13.5" customHeight="1" x14ac:dyDescent="0.2">
      <c r="A12" s="5"/>
      <c r="B12" s="65" t="s">
        <v>8</v>
      </c>
      <c r="C12" s="66" t="s">
        <v>180</v>
      </c>
      <c r="D12" s="67"/>
      <c r="E12" s="68" t="s">
        <v>179</v>
      </c>
      <c r="F12" s="69"/>
      <c r="G12" s="69"/>
      <c r="H12" s="69"/>
      <c r="I12" s="69"/>
      <c r="J12" s="70"/>
      <c r="K12" s="5"/>
    </row>
    <row r="13" spans="1:11" ht="13.5" customHeight="1" x14ac:dyDescent="0.2">
      <c r="A13" s="5"/>
      <c r="B13" s="65" t="s">
        <v>9</v>
      </c>
      <c r="C13" s="66" t="s">
        <v>182</v>
      </c>
      <c r="D13" s="67"/>
      <c r="E13" s="68" t="s">
        <v>179</v>
      </c>
      <c r="F13" s="69"/>
      <c r="G13" s="69"/>
      <c r="H13" s="69"/>
      <c r="I13" s="69"/>
      <c r="J13" s="70"/>
      <c r="K13" s="5"/>
    </row>
    <row r="14" spans="1:11" ht="13.5" customHeight="1" x14ac:dyDescent="0.2">
      <c r="A14" s="5"/>
      <c r="B14" s="65" t="s">
        <v>10</v>
      </c>
      <c r="C14" s="66" t="s">
        <v>183</v>
      </c>
      <c r="D14" s="67"/>
      <c r="E14" s="68" t="s">
        <v>184</v>
      </c>
      <c r="F14" s="69"/>
      <c r="G14" s="69"/>
      <c r="H14" s="69"/>
      <c r="I14" s="69"/>
      <c r="J14" s="70"/>
      <c r="K14" s="5"/>
    </row>
    <row r="15" spans="1:11" ht="13.5" customHeight="1" x14ac:dyDescent="0.2">
      <c r="A15" s="5"/>
      <c r="B15" s="28"/>
      <c r="C15" s="23"/>
      <c r="D15" s="23"/>
      <c r="E15" s="22"/>
      <c r="F15" s="23"/>
      <c r="G15" s="23"/>
      <c r="H15" s="23"/>
      <c r="I15" s="23"/>
      <c r="J15" s="29"/>
      <c r="K15" s="5"/>
    </row>
    <row r="16" spans="1:11" ht="13.5" customHeight="1" x14ac:dyDescent="0.2">
      <c r="A16" s="5"/>
      <c r="B16" s="344" t="s">
        <v>171</v>
      </c>
      <c r="C16" s="345"/>
      <c r="D16" s="345"/>
      <c r="E16" s="345"/>
      <c r="F16" s="345"/>
      <c r="G16" s="345"/>
      <c r="H16" s="345"/>
      <c r="I16" s="345"/>
      <c r="J16" s="365"/>
      <c r="K16" s="5"/>
    </row>
    <row r="17" spans="1:11" ht="13.5" customHeight="1" x14ac:dyDescent="0.2">
      <c r="A17" s="5"/>
      <c r="B17" s="28" t="s">
        <v>51</v>
      </c>
      <c r="C17" s="71"/>
      <c r="D17" s="21">
        <f>IF(C17&lt;&gt;"",C17,IF(D8="Elipse",D9,D8))</f>
        <v>100</v>
      </c>
      <c r="E17" s="22" t="s">
        <v>1</v>
      </c>
      <c r="F17" s="23"/>
      <c r="G17" s="23" t="s">
        <v>14</v>
      </c>
      <c r="H17" s="72"/>
      <c r="I17" s="24">
        <f>IF(H17&lt;&gt;"",H17,'Thermal Control - Spherical'!I16)</f>
        <v>1414</v>
      </c>
      <c r="J17" s="29" t="s">
        <v>15</v>
      </c>
      <c r="K17" s="5"/>
    </row>
    <row r="18" spans="1:11" ht="13.5" customHeight="1" x14ac:dyDescent="0.2">
      <c r="A18" s="5"/>
      <c r="B18" s="28" t="s">
        <v>16</v>
      </c>
      <c r="C18" s="23"/>
      <c r="D18" s="25">
        <f>IF(D17&lt;&gt;"",ASIN(Planet_Radius/(Planet_Radius+D17))*180/PI(),"")</f>
        <v>71.007893369601348</v>
      </c>
      <c r="E18" s="22" t="s">
        <v>17</v>
      </c>
      <c r="F18" s="23"/>
      <c r="G18" s="23" t="s">
        <v>52</v>
      </c>
      <c r="H18" s="72"/>
      <c r="I18" s="25">
        <f>IF(H18&lt;&gt;"",H18,I8)</f>
        <v>0</v>
      </c>
      <c r="J18" s="29" t="s">
        <v>17</v>
      </c>
      <c r="K18" s="5"/>
    </row>
    <row r="19" spans="1:11" ht="13.5" customHeight="1" x14ac:dyDescent="0.2">
      <c r="A19" s="5"/>
      <c r="B19" s="28" t="s">
        <v>19</v>
      </c>
      <c r="C19" s="23"/>
      <c r="D19" s="21">
        <f>IF(D18&lt;&gt;"",0.664+0.521*D18*PI()/180-0.203*(D18*PI()/180)^2,"")</f>
        <v>0.99789519269651805</v>
      </c>
      <c r="E19" s="22"/>
      <c r="F19" s="23"/>
      <c r="G19" s="23" t="s">
        <v>18</v>
      </c>
      <c r="H19" s="72"/>
      <c r="I19" s="26">
        <f>IF(H19&lt;&gt;"",H19,'Thermal Control - Spherical'!I17)</f>
        <v>7.2999999999999995E-2</v>
      </c>
      <c r="J19" s="29"/>
      <c r="K19" s="5"/>
    </row>
    <row r="20" spans="1:11" ht="13.5" customHeight="1" x14ac:dyDescent="0.2">
      <c r="A20" s="5"/>
      <c r="B20" s="28" t="s">
        <v>53</v>
      </c>
      <c r="C20" s="72"/>
      <c r="D20" s="21">
        <f>IF(C20&lt;&gt;"",C20,D10)</f>
        <v>0</v>
      </c>
      <c r="E20" s="22" t="s">
        <v>54</v>
      </c>
      <c r="F20" s="23"/>
      <c r="G20" s="23" t="s">
        <v>20</v>
      </c>
      <c r="H20" s="72"/>
      <c r="I20" s="40">
        <f>IF(H20&lt;&gt;"",H20,'Thermal Control - Spherical'!I18)</f>
        <v>1226</v>
      </c>
      <c r="J20" s="29" t="s">
        <v>15</v>
      </c>
      <c r="K20" s="5"/>
    </row>
    <row r="21" spans="1:11" ht="13.5" customHeight="1" x14ac:dyDescent="0.2">
      <c r="A21" s="5"/>
      <c r="B21" s="28"/>
      <c r="C21" s="23"/>
      <c r="D21" s="23"/>
      <c r="E21" s="22"/>
      <c r="F21" s="23"/>
      <c r="G21" s="23" t="s">
        <v>21</v>
      </c>
      <c r="H21" s="72"/>
      <c r="I21" s="40">
        <f>IF(H21&lt;&gt;"",H21,'Thermal Control - Spherical'!I19)</f>
        <v>5.2</v>
      </c>
      <c r="J21" s="29" t="s">
        <v>15</v>
      </c>
      <c r="K21" s="5"/>
    </row>
    <row r="22" spans="1:11" ht="13.5" customHeight="1" x14ac:dyDescent="0.2">
      <c r="A22" s="5"/>
      <c r="B22" s="28"/>
      <c r="C22" s="23"/>
      <c r="D22" s="23"/>
      <c r="E22" s="23"/>
      <c r="F22" s="23"/>
      <c r="G22" s="23"/>
      <c r="H22" s="23"/>
      <c r="I22" s="23"/>
      <c r="J22" s="41"/>
      <c r="K22" s="5"/>
    </row>
    <row r="23" spans="1:11" ht="13.5" customHeight="1" x14ac:dyDescent="0.2">
      <c r="A23" s="5"/>
      <c r="B23" s="28" t="s">
        <v>55</v>
      </c>
      <c r="C23" s="72"/>
      <c r="D23" s="25">
        <f>IF(C23&lt;&gt;"",C23,D11)</f>
        <v>0</v>
      </c>
      <c r="E23" s="22" t="s">
        <v>152</v>
      </c>
      <c r="F23" s="23"/>
      <c r="G23" s="23" t="s">
        <v>56</v>
      </c>
      <c r="H23" s="23"/>
      <c r="I23" s="25">
        <f>IF(AND(D23&lt;&gt;"",I18&lt;&gt;""),D23*COS(I18*PI()/180),"")</f>
        <v>0</v>
      </c>
      <c r="J23" s="29" t="s">
        <v>23</v>
      </c>
      <c r="K23" s="5"/>
    </row>
    <row r="24" spans="1:11" ht="13.5" customHeight="1" x14ac:dyDescent="0.2">
      <c r="A24" s="5"/>
      <c r="B24" s="28" t="s">
        <v>57</v>
      </c>
      <c r="C24" s="72"/>
      <c r="D24" s="26">
        <f>IF(C24&lt;&gt;"",C24,D12)</f>
        <v>0</v>
      </c>
      <c r="E24" s="22"/>
      <c r="F24" s="23"/>
      <c r="G24" s="23"/>
      <c r="H24" s="23"/>
      <c r="I24" s="23"/>
      <c r="J24" s="41"/>
      <c r="K24" s="5"/>
    </row>
    <row r="25" spans="1:11" ht="13.5" customHeight="1" x14ac:dyDescent="0.2">
      <c r="A25" s="5"/>
      <c r="B25" s="28" t="s">
        <v>58</v>
      </c>
      <c r="C25" s="72"/>
      <c r="D25" s="26">
        <f>IF(C25&lt;&gt;"",C25,D13)</f>
        <v>0</v>
      </c>
      <c r="E25" s="22"/>
      <c r="F25" s="23"/>
      <c r="G25" s="23"/>
      <c r="H25" s="23"/>
      <c r="I25" s="23"/>
      <c r="J25" s="29"/>
      <c r="K25" s="5"/>
    </row>
    <row r="26" spans="1:11" ht="13.5" customHeight="1" x14ac:dyDescent="0.2">
      <c r="A26" s="5"/>
      <c r="B26" s="28" t="s">
        <v>59</v>
      </c>
      <c r="C26" s="72"/>
      <c r="D26" s="26">
        <f>IF(C26&lt;&gt;"",C26,D14)</f>
        <v>0</v>
      </c>
      <c r="E26" s="22"/>
      <c r="F26" s="23"/>
      <c r="G26" s="23" t="s">
        <v>26</v>
      </c>
      <c r="H26" s="23"/>
      <c r="I26" s="24">
        <f>IF(I23&lt;&gt;"",I17*I23*D30,"")</f>
        <v>0</v>
      </c>
      <c r="J26" s="29" t="s">
        <v>27</v>
      </c>
      <c r="K26" s="5"/>
    </row>
    <row r="27" spans="1:11" ht="13.5" customHeight="1" x14ac:dyDescent="0.2">
      <c r="A27" s="5"/>
      <c r="B27" s="28" t="s">
        <v>60</v>
      </c>
      <c r="C27" s="23"/>
      <c r="D27" s="26">
        <f>IF(AND(D20&lt;&gt;"",D26&lt;&gt;""),(1-D26)^D20,"")</f>
        <v>1</v>
      </c>
      <c r="E27" s="22"/>
      <c r="F27" s="23"/>
      <c r="G27" s="23" t="s">
        <v>28</v>
      </c>
      <c r="H27" s="23"/>
      <c r="I27" s="24">
        <f>IF(AND(I23&lt;&gt;"",D18&lt;&gt;""),I17*I19*I23*D31*D19*(SIN(D18*PI()/180)^2),"")</f>
        <v>0</v>
      </c>
      <c r="J27" s="29" t="s">
        <v>27</v>
      </c>
      <c r="K27" s="5"/>
    </row>
    <row r="28" spans="1:11" ht="13.5" customHeight="1" x14ac:dyDescent="0.2">
      <c r="A28" s="5"/>
      <c r="B28" s="28"/>
      <c r="C28" s="24"/>
      <c r="D28" s="24"/>
      <c r="E28" s="22"/>
      <c r="F28" s="23"/>
      <c r="G28" s="23" t="s">
        <v>30</v>
      </c>
      <c r="H28" s="23"/>
      <c r="I28" s="24">
        <f>IF(AND(I23&lt;&gt;"",D18&lt;&gt;""),I20*I23*D33*(SIN(D18*PI()/180)^2),"")</f>
        <v>0</v>
      </c>
      <c r="J28" s="29" t="s">
        <v>27</v>
      </c>
      <c r="K28" s="5"/>
    </row>
    <row r="29" spans="1:11" ht="13.5" customHeight="1" x14ac:dyDescent="0.2">
      <c r="A29" s="5"/>
      <c r="B29" s="28"/>
      <c r="C29" s="23"/>
      <c r="D29" s="23"/>
      <c r="E29" s="23"/>
      <c r="F29" s="23"/>
      <c r="G29" s="23" t="s">
        <v>32</v>
      </c>
      <c r="H29" s="23"/>
      <c r="I29" s="24">
        <f>IF(AND(I23&lt;&gt;"",D18&lt;&gt;""),I21*I23*D33*(SIN(D18*PI()/180)^2),"")</f>
        <v>0</v>
      </c>
      <c r="J29" s="29" t="s">
        <v>27</v>
      </c>
      <c r="K29" s="5"/>
    </row>
    <row r="30" spans="1:11" ht="13.5" customHeight="1" x14ac:dyDescent="0.2">
      <c r="A30" s="5"/>
      <c r="B30" s="28" t="s">
        <v>61</v>
      </c>
      <c r="C30" s="72"/>
      <c r="D30" s="26">
        <f>IF(C30&lt;&gt;"",C30,0.805)</f>
        <v>0.80500000000000005</v>
      </c>
      <c r="E30" s="22"/>
      <c r="F30" s="23"/>
      <c r="G30" s="23" t="s">
        <v>62</v>
      </c>
      <c r="H30" s="23"/>
      <c r="I30" s="24">
        <f>IF(AND(I23&lt;&gt;"",D27&lt;&gt;""),I17*D24*D25*D27*I23,"")</f>
        <v>0</v>
      </c>
      <c r="J30" s="29" t="s">
        <v>27</v>
      </c>
      <c r="K30" s="5"/>
    </row>
    <row r="31" spans="1:11" ht="13.5" customHeight="1" thickBot="1" x14ac:dyDescent="0.25">
      <c r="A31" s="5"/>
      <c r="B31" s="28" t="s">
        <v>63</v>
      </c>
      <c r="C31" s="72"/>
      <c r="D31" s="26">
        <f>IF(C31&lt;&gt;"",C31,'Thermal Control - Spherical'!D24)</f>
        <v>0.16</v>
      </c>
      <c r="E31" s="22"/>
      <c r="F31" s="23"/>
      <c r="G31" s="23"/>
      <c r="H31" s="23"/>
      <c r="I31" s="23"/>
      <c r="J31" s="41"/>
      <c r="K31" s="5"/>
    </row>
    <row r="32" spans="1:11" ht="13.5" customHeight="1" x14ac:dyDescent="0.2">
      <c r="A32" s="5"/>
      <c r="B32" s="28" t="s">
        <v>64</v>
      </c>
      <c r="C32" s="72"/>
      <c r="D32" s="26">
        <f>IF(C32&lt;&gt;"",C32,0.825)</f>
        <v>0.82499999999999996</v>
      </c>
      <c r="E32" s="22"/>
      <c r="F32" s="23"/>
      <c r="G32" s="35" t="s">
        <v>34</v>
      </c>
      <c r="H32" s="45" t="e">
        <f>IF(AND(D18&lt;&gt;"",D23&lt;&gt;"",D27&lt;&gt;""),((I26+I27+I28-I30)/D23/(D32+D33)/Stefan_Boltzmann_Constant)^0.25-273,"")</f>
        <v>#DIV/0!</v>
      </c>
      <c r="I32" s="37" t="s">
        <v>35</v>
      </c>
      <c r="J32" s="29"/>
      <c r="K32" s="5"/>
    </row>
    <row r="33" spans="1:11" ht="13.5" customHeight="1" thickBot="1" x14ac:dyDescent="0.25">
      <c r="A33" s="5"/>
      <c r="B33" s="28" t="s">
        <v>65</v>
      </c>
      <c r="C33" s="72"/>
      <c r="D33" s="26">
        <f>IF(C33&lt;&gt;"",C33,'Thermal Control - Spherical'!D25)</f>
        <v>0.78</v>
      </c>
      <c r="E33" s="22"/>
      <c r="F33" s="23"/>
      <c r="G33" s="38" t="s">
        <v>37</v>
      </c>
      <c r="H33" s="46" t="e">
        <f>IF(AND(D18&lt;&gt;"",D23&lt;&gt;""),(I29/D23/(D32+D33)/Stefan_Boltzmann_Constant)^0.25-273,"")</f>
        <v>#DIV/0!</v>
      </c>
      <c r="I33" s="39" t="s">
        <v>35</v>
      </c>
      <c r="J33" s="29"/>
      <c r="K33" s="5"/>
    </row>
    <row r="34" spans="1:11" ht="13.5" customHeight="1" thickBot="1" x14ac:dyDescent="0.25">
      <c r="A34" s="4"/>
      <c r="B34" s="31"/>
      <c r="C34" s="42"/>
      <c r="D34" s="43"/>
      <c r="E34" s="33"/>
      <c r="F34" s="32"/>
      <c r="G34" s="32"/>
      <c r="H34" s="32"/>
      <c r="I34" s="44"/>
      <c r="J34" s="34"/>
      <c r="K34" s="5"/>
    </row>
    <row r="35" spans="1:11" ht="13.5" customHeight="1" thickTop="1" x14ac:dyDescent="0.2">
      <c r="A35" s="5"/>
      <c r="B35" s="5"/>
      <c r="C35" s="5"/>
      <c r="D35" s="5"/>
      <c r="E35" s="5"/>
      <c r="F35" s="5"/>
      <c r="G35" s="5"/>
      <c r="H35" s="5"/>
      <c r="I35" s="5"/>
      <c r="J35" s="5"/>
      <c r="K35" s="5"/>
    </row>
    <row r="36" spans="1:11" ht="13.5" customHeight="1" x14ac:dyDescent="0.2">
      <c r="A36" s="5"/>
      <c r="B36" s="5"/>
      <c r="C36" s="5"/>
      <c r="D36" s="5"/>
      <c r="E36" s="5"/>
      <c r="F36" s="5"/>
      <c r="G36" s="5"/>
      <c r="H36" s="5"/>
      <c r="I36" s="5"/>
      <c r="J36" s="9"/>
      <c r="K36" s="5"/>
    </row>
    <row r="37" spans="1:11" x14ac:dyDescent="0.2">
      <c r="E37" s="3"/>
      <c r="J37" s="3"/>
    </row>
    <row r="38" spans="1:11" x14ac:dyDescent="0.2">
      <c r="J38" s="3"/>
    </row>
  </sheetData>
  <mergeCells count="4">
    <mergeCell ref="A2:K2"/>
    <mergeCell ref="B5:J5"/>
    <mergeCell ref="B7:J7"/>
    <mergeCell ref="B16:J16"/>
  </mergeCells>
  <phoneticPr fontId="0" type="noConversion"/>
  <pageMargins left="0.75" right="0.75" top="1" bottom="1" header="0.5" footer="0.5"/>
  <pageSetup orientation="landscape" horizontalDpi="4294967292" verticalDpi="0" r:id="rId1"/>
  <headerFooter alignWithMargins="0"/>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rgb="FF538DD5"/>
  </sheetPr>
  <dimension ref="A1:M12"/>
  <sheetViews>
    <sheetView showGridLines="0" workbookViewId="0">
      <selection activeCell="E7" sqref="E7"/>
    </sheetView>
  </sheetViews>
  <sheetFormatPr defaultColWidth="10.1640625" defaultRowHeight="15" x14ac:dyDescent="0.2"/>
  <cols>
    <col min="1" max="1" width="10.1640625" style="232"/>
    <col min="2" max="2" width="20.33203125" style="232" bestFit="1" customWidth="1"/>
    <col min="3" max="3" width="46.33203125" style="232" customWidth="1"/>
    <col min="4" max="4" width="13.6640625" style="232" customWidth="1"/>
    <col min="5" max="5" width="20" style="232" bestFit="1" customWidth="1"/>
    <col min="6" max="6" width="53.1640625" style="232" customWidth="1"/>
    <col min="7" max="7" width="10.1640625" style="232"/>
    <col min="8" max="16384" width="10.1640625" style="230"/>
  </cols>
  <sheetData>
    <row r="1" spans="2:13" ht="30" customHeight="1" x14ac:dyDescent="0.2">
      <c r="B1" s="366" t="s">
        <v>374</v>
      </c>
      <c r="C1" s="367"/>
      <c r="D1" s="367"/>
      <c r="E1" s="367"/>
      <c r="F1" s="368"/>
      <c r="G1" s="228"/>
      <c r="H1" s="229"/>
      <c r="I1" s="229"/>
      <c r="J1" s="229"/>
      <c r="K1" s="229"/>
      <c r="L1" s="229"/>
      <c r="M1" s="229"/>
    </row>
    <row r="3" spans="2:13" x14ac:dyDescent="0.2">
      <c r="B3" s="231" t="s">
        <v>375</v>
      </c>
      <c r="C3" s="231"/>
      <c r="E3" s="231" t="s">
        <v>384</v>
      </c>
      <c r="F3" s="231"/>
    </row>
    <row r="4" spans="2:13" x14ac:dyDescent="0.2">
      <c r="B4" s="233" t="s">
        <v>376</v>
      </c>
      <c r="C4" s="233" t="s">
        <v>377</v>
      </c>
      <c r="E4" s="233" t="s">
        <v>378</v>
      </c>
      <c r="F4" s="233" t="s">
        <v>377</v>
      </c>
    </row>
    <row r="5" spans="2:13" x14ac:dyDescent="0.2">
      <c r="B5" s="232" t="s">
        <v>379</v>
      </c>
      <c r="E5" s="232" t="s">
        <v>395</v>
      </c>
    </row>
    <row r="6" spans="2:13" x14ac:dyDescent="0.2">
      <c r="B6" s="232" t="s">
        <v>380</v>
      </c>
      <c r="E6" s="232" t="s">
        <v>396</v>
      </c>
    </row>
    <row r="7" spans="2:13" x14ac:dyDescent="0.2">
      <c r="B7" s="232" t="s">
        <v>381</v>
      </c>
    </row>
    <row r="8" spans="2:13" x14ac:dyDescent="0.2">
      <c r="B8" s="232" t="s">
        <v>382</v>
      </c>
    </row>
    <row r="9" spans="2:13" x14ac:dyDescent="0.2">
      <c r="B9" s="232" t="s">
        <v>383</v>
      </c>
    </row>
    <row r="12" spans="2:13" x14ac:dyDescent="0.2">
      <c r="B12" s="234"/>
      <c r="C12" s="234"/>
    </row>
  </sheetData>
  <mergeCells count="1">
    <mergeCell ref="B1:F1"/>
  </mergeCells>
  <pageMargins left="0.7" right="0.7" top="0.75" bottom="0.75" header="0.3" footer="0.3"/>
  <pageSetup paperSize="9" orientation="portrait" r:id="rId1"/>
  <legacy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92D050"/>
  </sheetPr>
  <dimension ref="A1:AB89"/>
  <sheetViews>
    <sheetView topLeftCell="B1" zoomScale="40" zoomScaleNormal="40" workbookViewId="0">
      <selection activeCell="F38" sqref="F38"/>
    </sheetView>
  </sheetViews>
  <sheetFormatPr defaultColWidth="8.83203125" defaultRowHeight="15" x14ac:dyDescent="0.25"/>
  <cols>
    <col min="1" max="1" width="14.83203125" style="313" bestFit="1" customWidth="1"/>
    <col min="2" max="2" width="35.6640625" style="313" customWidth="1"/>
    <col min="3" max="3" width="6.33203125" style="313" customWidth="1"/>
    <col min="4" max="4" width="13.5" style="313" bestFit="1" customWidth="1"/>
    <col min="5" max="5" width="6.33203125" style="313" customWidth="1"/>
    <col min="6" max="6" width="13.5" style="313" bestFit="1" customWidth="1"/>
    <col min="7" max="7" width="6.33203125" style="313" customWidth="1"/>
    <col min="8" max="8" width="13.5" style="313" bestFit="1" customWidth="1"/>
    <col min="9" max="9" width="6.33203125" style="313" customWidth="1"/>
    <col min="10" max="10" width="13.5" style="313" bestFit="1" customWidth="1"/>
    <col min="11" max="11" width="6.33203125" style="313" customWidth="1"/>
    <col min="12" max="12" width="13.5" style="313" bestFit="1" customWidth="1"/>
    <col min="13" max="13" width="6.33203125" style="313" customWidth="1"/>
    <col min="14" max="14" width="13.5" style="313" bestFit="1" customWidth="1"/>
    <col min="15" max="15" width="6.33203125" style="313" customWidth="1"/>
    <col min="16" max="16" width="13.5" style="313" bestFit="1" customWidth="1"/>
    <col min="17" max="17" width="6.33203125" style="313" customWidth="1"/>
    <col min="18" max="18" width="13.5" style="313" bestFit="1" customWidth="1"/>
    <col min="19" max="19" width="6.33203125" style="313" customWidth="1"/>
    <col min="20" max="20" width="14.83203125" style="313" bestFit="1" customWidth="1"/>
    <col min="21" max="28" width="8.83203125" style="254"/>
    <col min="29" max="16384" width="8.83203125" style="313"/>
  </cols>
  <sheetData>
    <row r="1" spans="1:20" ht="23.25" x14ac:dyDescent="0.35">
      <c r="A1" s="254"/>
      <c r="B1" s="255" t="s">
        <v>398</v>
      </c>
      <c r="C1" s="254"/>
      <c r="D1" s="254"/>
      <c r="E1" s="254"/>
      <c r="F1" s="254"/>
      <c r="G1" s="254"/>
      <c r="H1" s="254"/>
      <c r="I1" s="254"/>
      <c r="J1" s="254"/>
      <c r="K1" s="254"/>
      <c r="L1" s="254"/>
      <c r="M1" s="254"/>
      <c r="N1" s="254"/>
      <c r="O1" s="254"/>
      <c r="P1" s="254"/>
      <c r="Q1" s="254"/>
      <c r="R1" s="254"/>
      <c r="S1" s="254"/>
      <c r="T1" s="318" t="s">
        <v>528</v>
      </c>
    </row>
    <row r="2" spans="1:20" x14ac:dyDescent="0.25">
      <c r="A2" s="254"/>
      <c r="B2" s="254" t="s">
        <v>399</v>
      </c>
      <c r="C2" s="254"/>
      <c r="D2" s="254"/>
      <c r="E2" s="254"/>
      <c r="F2" s="254"/>
      <c r="G2" s="254"/>
      <c r="H2" s="254"/>
      <c r="I2" s="254"/>
      <c r="J2" s="254"/>
      <c r="K2" s="254"/>
      <c r="L2" s="254"/>
      <c r="M2" s="254"/>
      <c r="N2" s="254"/>
      <c r="O2" s="254"/>
      <c r="P2" s="254"/>
      <c r="Q2" s="254"/>
      <c r="R2" s="254" t="s">
        <v>400</v>
      </c>
      <c r="S2" s="254"/>
      <c r="T2" s="254" t="s">
        <v>401</v>
      </c>
    </row>
    <row r="3" spans="1:20" x14ac:dyDescent="0.25">
      <c r="A3" s="254"/>
      <c r="B3" s="318" t="s">
        <v>523</v>
      </c>
      <c r="C3" s="254"/>
      <c r="D3" s="254"/>
      <c r="E3" s="254"/>
      <c r="F3" s="254"/>
      <c r="G3" s="254"/>
      <c r="H3" s="254"/>
      <c r="I3" s="254"/>
      <c r="J3" s="254"/>
      <c r="K3" s="254"/>
      <c r="L3" s="254"/>
      <c r="M3" s="254"/>
      <c r="N3" s="254"/>
      <c r="O3" s="254"/>
      <c r="P3" s="254"/>
      <c r="Q3" s="254"/>
      <c r="R3" s="254" t="s">
        <v>402</v>
      </c>
      <c r="S3" s="254"/>
      <c r="T3" s="254" t="s">
        <v>403</v>
      </c>
    </row>
    <row r="4" spans="1:20" x14ac:dyDescent="0.25">
      <c r="A4" s="254"/>
      <c r="B4" s="254" t="s">
        <v>404</v>
      </c>
      <c r="C4" s="254"/>
      <c r="D4" s="254"/>
      <c r="E4" s="254"/>
      <c r="F4" s="254"/>
      <c r="G4" s="254"/>
      <c r="H4" s="254"/>
      <c r="I4" s="254"/>
      <c r="J4" s="254"/>
      <c r="K4" s="254"/>
      <c r="L4" s="254"/>
      <c r="M4" s="254"/>
      <c r="N4" s="254"/>
      <c r="O4" s="254"/>
      <c r="P4" s="254"/>
      <c r="Q4" s="254"/>
      <c r="R4" s="254"/>
      <c r="S4" s="254"/>
      <c r="T4" s="318" t="s">
        <v>367</v>
      </c>
    </row>
    <row r="5" spans="1:20" x14ac:dyDescent="0.25">
      <c r="A5" s="254"/>
      <c r="B5" s="254" t="s">
        <v>405</v>
      </c>
      <c r="C5" s="254"/>
      <c r="D5" s="254"/>
      <c r="E5" s="254"/>
      <c r="F5" s="254"/>
      <c r="G5" s="254"/>
      <c r="H5" s="254"/>
      <c r="I5" s="254"/>
      <c r="J5" s="254"/>
      <c r="K5" s="254"/>
      <c r="L5" s="254"/>
      <c r="M5" s="254"/>
      <c r="N5" s="254"/>
      <c r="O5" s="254"/>
      <c r="P5" s="254"/>
      <c r="Q5" s="254"/>
      <c r="R5" s="254"/>
      <c r="S5" s="254"/>
      <c r="T5" s="318" t="s">
        <v>529</v>
      </c>
    </row>
    <row r="6" spans="1:20" x14ac:dyDescent="0.25">
      <c r="A6" s="254"/>
      <c r="B6" s="318" t="s">
        <v>524</v>
      </c>
      <c r="C6" s="254"/>
      <c r="D6" s="254"/>
      <c r="E6" s="254"/>
      <c r="F6" s="254"/>
      <c r="G6" s="254"/>
      <c r="H6" s="254"/>
      <c r="I6" s="254"/>
      <c r="J6" s="254"/>
      <c r="K6" s="254"/>
      <c r="L6" s="254"/>
      <c r="M6" s="254"/>
      <c r="N6" s="254"/>
      <c r="O6" s="254"/>
      <c r="P6" s="254"/>
      <c r="Q6" s="254"/>
      <c r="R6" s="254"/>
      <c r="S6" s="254"/>
      <c r="T6" s="254"/>
    </row>
    <row r="7" spans="1:20" x14ac:dyDescent="0.25">
      <c r="A7" s="254"/>
      <c r="B7" s="254" t="s">
        <v>406</v>
      </c>
      <c r="C7" s="254"/>
      <c r="D7" s="254"/>
      <c r="E7" s="254"/>
      <c r="F7" s="254"/>
      <c r="G7" s="254"/>
      <c r="H7" s="254"/>
      <c r="I7" s="254"/>
      <c r="J7" s="254"/>
      <c r="K7" s="254"/>
      <c r="L7" s="254"/>
      <c r="M7" s="254"/>
      <c r="N7" s="254"/>
      <c r="O7" s="254"/>
      <c r="P7" s="254"/>
      <c r="Q7" s="254"/>
      <c r="R7" s="254"/>
      <c r="S7" s="254"/>
      <c r="T7" s="254"/>
    </row>
    <row r="8" spans="1:20" x14ac:dyDescent="0.25">
      <c r="A8" s="254"/>
      <c r="B8" s="256" t="s">
        <v>407</v>
      </c>
      <c r="C8" s="254"/>
      <c r="D8" s="254"/>
      <c r="E8" s="254"/>
      <c r="F8" s="254"/>
      <c r="G8" s="254"/>
      <c r="H8" s="254"/>
      <c r="I8" s="254"/>
      <c r="J8" s="254"/>
      <c r="K8" s="254"/>
      <c r="L8" s="254"/>
      <c r="M8" s="254"/>
      <c r="N8" s="254"/>
      <c r="O8" s="254"/>
      <c r="P8" s="254"/>
      <c r="Q8" s="254"/>
      <c r="R8" s="254"/>
      <c r="S8" s="254"/>
      <c r="T8" s="254"/>
    </row>
    <row r="9" spans="1:20" x14ac:dyDescent="0.25">
      <c r="A9" s="254"/>
      <c r="B9" s="254"/>
      <c r="C9" s="254"/>
      <c r="D9" s="254"/>
      <c r="E9" s="254"/>
      <c r="F9" s="254"/>
      <c r="G9" s="254"/>
      <c r="H9" s="254"/>
      <c r="I9" s="254"/>
      <c r="J9" s="254"/>
      <c r="K9" s="254"/>
      <c r="L9" s="254"/>
      <c r="M9" s="254"/>
      <c r="N9" s="254"/>
      <c r="O9" s="254"/>
      <c r="P9" s="254"/>
      <c r="Q9" s="254"/>
      <c r="R9" s="254"/>
      <c r="S9" s="254"/>
      <c r="T9" s="254"/>
    </row>
    <row r="10" spans="1:20" x14ac:dyDescent="0.25">
      <c r="A10" s="254"/>
      <c r="B10" s="256" t="s">
        <v>408</v>
      </c>
      <c r="C10" s="254"/>
      <c r="D10" s="254"/>
      <c r="E10" s="254"/>
      <c r="F10" s="254"/>
      <c r="G10" s="254"/>
      <c r="H10" s="254"/>
      <c r="I10" s="254"/>
      <c r="J10" s="254"/>
      <c r="K10" s="254"/>
      <c r="L10" s="254"/>
      <c r="M10" s="254"/>
      <c r="N10" s="254"/>
      <c r="O10" s="254"/>
      <c r="P10" s="254"/>
      <c r="Q10" s="254"/>
      <c r="R10" s="254"/>
      <c r="S10" s="254"/>
      <c r="T10" s="254"/>
    </row>
    <row r="11" spans="1:20" ht="15.75" thickBot="1" x14ac:dyDescent="0.3">
      <c r="A11" s="254"/>
      <c r="B11" s="257" t="s">
        <v>409</v>
      </c>
      <c r="C11" s="257"/>
      <c r="D11" s="257" t="s">
        <v>410</v>
      </c>
      <c r="E11" s="257"/>
      <c r="F11" s="257" t="s">
        <v>411</v>
      </c>
      <c r="G11" s="257"/>
      <c r="H11" s="257" t="s">
        <v>412</v>
      </c>
      <c r="I11" s="257"/>
      <c r="J11" s="257" t="s">
        <v>413</v>
      </c>
      <c r="K11" s="257"/>
      <c r="L11" s="257" t="s">
        <v>414</v>
      </c>
      <c r="M11" s="257"/>
      <c r="N11" s="257" t="s">
        <v>415</v>
      </c>
      <c r="O11" s="257"/>
      <c r="P11" s="257" t="s">
        <v>416</v>
      </c>
      <c r="Q11" s="257"/>
      <c r="R11" s="257" t="s">
        <v>417</v>
      </c>
      <c r="S11" s="257"/>
      <c r="T11" s="257" t="s">
        <v>418</v>
      </c>
    </row>
    <row r="12" spans="1:20" ht="15.75" thickBot="1" x14ac:dyDescent="0.3">
      <c r="A12" s="258" t="s">
        <v>419</v>
      </c>
      <c r="B12" s="317" t="s">
        <v>118</v>
      </c>
      <c r="C12" s="259" t="s">
        <v>400</v>
      </c>
      <c r="D12" s="317" t="s">
        <v>515</v>
      </c>
      <c r="E12" s="317" t="s">
        <v>400</v>
      </c>
      <c r="F12" s="317" t="s">
        <v>3</v>
      </c>
      <c r="G12" s="259" t="s">
        <v>402</v>
      </c>
      <c r="H12" s="327" t="s">
        <v>525</v>
      </c>
      <c r="I12" s="259" t="s">
        <v>402</v>
      </c>
      <c r="J12" s="259" t="s">
        <v>420</v>
      </c>
      <c r="K12" s="259" t="s">
        <v>402</v>
      </c>
      <c r="L12" s="259"/>
      <c r="M12" s="259" t="s">
        <v>402</v>
      </c>
      <c r="N12" s="259"/>
      <c r="O12" s="259" t="s">
        <v>402</v>
      </c>
      <c r="P12" s="259"/>
      <c r="Q12" s="259" t="s">
        <v>402</v>
      </c>
      <c r="R12" s="259"/>
      <c r="S12" s="259" t="s">
        <v>402</v>
      </c>
      <c r="T12" s="260"/>
    </row>
    <row r="13" spans="1:20" ht="15.75" thickBot="1" x14ac:dyDescent="0.3">
      <c r="A13" s="261" t="s">
        <v>421</v>
      </c>
      <c r="B13" s="262"/>
      <c r="C13" s="262">
        <f>IF(C12="&gt;",1,0)</f>
        <v>1</v>
      </c>
      <c r="D13" s="262"/>
      <c r="E13" s="262">
        <f>IF(E12="&gt;",1,0)</f>
        <v>1</v>
      </c>
      <c r="F13" s="262"/>
      <c r="G13" s="262">
        <f>IF(G12="&gt;",1,0)</f>
        <v>0</v>
      </c>
      <c r="H13" s="262"/>
      <c r="I13" s="262">
        <f>IF(I12="&gt;",1,0)</f>
        <v>0</v>
      </c>
      <c r="J13" s="262"/>
      <c r="K13" s="262">
        <f>IF(K12="&gt;",1,0)</f>
        <v>0</v>
      </c>
      <c r="L13" s="262"/>
      <c r="M13" s="262">
        <f>IF(M12="&gt;",1,0)</f>
        <v>0</v>
      </c>
      <c r="N13" s="262"/>
      <c r="O13" s="262">
        <f>IF(O12="&gt;",1,0)</f>
        <v>0</v>
      </c>
      <c r="P13" s="262"/>
      <c r="Q13" s="262">
        <f>IF(Q12="&gt;",1,0)</f>
        <v>0</v>
      </c>
      <c r="R13" s="262"/>
      <c r="S13" s="262">
        <f>IF(S12="&gt;",1,0)</f>
        <v>0</v>
      </c>
      <c r="T13" s="263"/>
    </row>
    <row r="14" spans="1:20" x14ac:dyDescent="0.25">
      <c r="A14" s="254"/>
      <c r="B14" s="254"/>
      <c r="C14" s="254"/>
      <c r="D14" s="254"/>
      <c r="E14" s="254"/>
      <c r="F14" s="254"/>
      <c r="G14" s="254"/>
      <c r="H14" s="254"/>
      <c r="I14" s="254"/>
      <c r="J14" s="254"/>
      <c r="K14" s="254"/>
      <c r="L14" s="254"/>
      <c r="M14" s="254"/>
      <c r="N14" s="254"/>
      <c r="O14" s="254"/>
      <c r="P14" s="254"/>
      <c r="Q14" s="254"/>
      <c r="R14" s="254"/>
      <c r="S14" s="254"/>
      <c r="T14" s="254"/>
    </row>
    <row r="15" spans="1:20" ht="15.75" thickBot="1" x14ac:dyDescent="0.3">
      <c r="A15" s="256" t="s">
        <v>526</v>
      </c>
      <c r="B15" s="254"/>
      <c r="C15" s="254"/>
      <c r="D15" s="254"/>
      <c r="E15" s="254"/>
      <c r="F15" s="254"/>
      <c r="G15" s="254"/>
      <c r="H15" s="254"/>
      <c r="I15" s="254"/>
      <c r="J15" s="254"/>
      <c r="K15" s="254"/>
      <c r="L15" s="254"/>
      <c r="M15" s="254"/>
      <c r="N15" s="254"/>
      <c r="O15" s="254"/>
      <c r="P15" s="254"/>
      <c r="Q15" s="254"/>
      <c r="R15" s="254"/>
      <c r="S15" s="254"/>
      <c r="T15" s="254"/>
    </row>
    <row r="16" spans="1:20" ht="129" thickBot="1" x14ac:dyDescent="0.3">
      <c r="A16" s="258" t="s">
        <v>422</v>
      </c>
      <c r="B16" s="328" t="s">
        <v>527</v>
      </c>
      <c r="C16" s="264" t="str">
        <f>B17</f>
        <v>Mass</v>
      </c>
      <c r="D16" s="264" t="str">
        <f>B18</f>
        <v>Cost</v>
      </c>
      <c r="E16" s="264" t="str">
        <f>B19</f>
        <v>Power</v>
      </c>
      <c r="F16" s="264" t="str">
        <f>B20</f>
        <v>Equilibrium temperature</v>
      </c>
      <c r="G16" s="264" t="str">
        <f>B21</f>
        <v>E</v>
      </c>
      <c r="H16" s="264" t="str">
        <f>B22</f>
        <v/>
      </c>
      <c r="I16" s="264" t="str">
        <f>B23</f>
        <v/>
      </c>
      <c r="J16" s="264" t="str">
        <f>B24</f>
        <v/>
      </c>
      <c r="K16" s="264" t="str">
        <f>B25</f>
        <v/>
      </c>
      <c r="L16" s="264" t="str">
        <f>B26</f>
        <v/>
      </c>
      <c r="M16" s="265" t="s">
        <v>423</v>
      </c>
      <c r="N16" s="266" t="s">
        <v>424</v>
      </c>
      <c r="O16" s="265"/>
      <c r="P16" s="266" t="s">
        <v>425</v>
      </c>
      <c r="Q16" s="254"/>
      <c r="R16" s="254"/>
      <c r="S16" s="254"/>
      <c r="T16" s="254"/>
    </row>
    <row r="17" spans="1:20" x14ac:dyDescent="0.25">
      <c r="A17" s="267">
        <v>1</v>
      </c>
      <c r="B17" s="268" t="str">
        <f>IF(B12="","",B12)</f>
        <v>Mass</v>
      </c>
      <c r="C17" s="269"/>
      <c r="D17" s="270">
        <f>IF(D16="",0,C13)</f>
        <v>1</v>
      </c>
      <c r="E17" s="270">
        <f>IF(E$16="",0,MAX(D17,E$13))</f>
        <v>1</v>
      </c>
      <c r="F17" s="270">
        <f>IF(F$16="",0,MAX(E17,G$13))</f>
        <v>1</v>
      </c>
      <c r="G17" s="270">
        <f>IF(F$16="",0,MAX(F17,I$13))</f>
        <v>1</v>
      </c>
      <c r="H17" s="270">
        <f>IF(H$16="",0,MAX(G17,K$13))</f>
        <v>0</v>
      </c>
      <c r="I17" s="270">
        <f>IF(I$16="",0,MAX(H17,M$13))</f>
        <v>0</v>
      </c>
      <c r="J17" s="270">
        <f>IF(J$16="",0,MAX(I17,O$13))</f>
        <v>0</v>
      </c>
      <c r="K17" s="270">
        <f>IF(K$16="",0,MAX(J17,Q$13))</f>
        <v>0</v>
      </c>
      <c r="L17" s="271">
        <f>IF(L$16="",0,MAX(K17,S$13))</f>
        <v>0</v>
      </c>
      <c r="M17" s="272">
        <f>IF(B17="","",SUM(C17:L17))</f>
        <v>4</v>
      </c>
      <c r="N17" s="273">
        <f>IF(B17="","",M17+ABS(MIN($M$17:$M$26))+1)</f>
        <v>7</v>
      </c>
      <c r="O17" s="272"/>
      <c r="P17" s="273">
        <f>IF(B17="","",N17/SUM($N$17:$N$26))</f>
        <v>0.46666666666666667</v>
      </c>
      <c r="Q17" s="254"/>
      <c r="R17" s="274"/>
      <c r="S17" s="254"/>
      <c r="T17" s="254"/>
    </row>
    <row r="18" spans="1:20" x14ac:dyDescent="0.25">
      <c r="A18" s="267">
        <v>2</v>
      </c>
      <c r="B18" s="268" t="str">
        <f>IF(D12="","",D12)</f>
        <v>Cost</v>
      </c>
      <c r="C18" s="275">
        <f>-D17</f>
        <v>-1</v>
      </c>
      <c r="D18" s="276"/>
      <c r="E18" s="277">
        <f>IF(E$16="",0,MAX(D18,E$13))</f>
        <v>1</v>
      </c>
      <c r="F18" s="277">
        <f t="shared" ref="F18:F19" si="0">IF(F$16="",0,MAX(E18,G$13))</f>
        <v>1</v>
      </c>
      <c r="G18" s="277">
        <f t="shared" ref="G18:G20" si="1">IF(F$16="",0,MAX(F18,I$13))</f>
        <v>1</v>
      </c>
      <c r="H18" s="277">
        <f t="shared" ref="H18:H21" si="2">IF(H$16="",0,MAX(G18,K$13))</f>
        <v>0</v>
      </c>
      <c r="I18" s="277">
        <f t="shared" ref="I18:I22" si="3">IF(I$16="",0,MAX(H18,M$13))</f>
        <v>0</v>
      </c>
      <c r="J18" s="277">
        <f t="shared" ref="J18:J23" si="4">IF(J$16="",0,MAX(I18,O$13))</f>
        <v>0</v>
      </c>
      <c r="K18" s="277">
        <f t="shared" ref="K18:K24" si="5">IF(K$16="",0,MAX(J18,Q$13))</f>
        <v>0</v>
      </c>
      <c r="L18" s="278">
        <f t="shared" ref="L18:L25" si="6">IF(L$16="",0,MAX(K18,S$13))</f>
        <v>0</v>
      </c>
      <c r="M18" s="279">
        <f t="shared" ref="M18:M26" si="7">IF(B18="","",SUM(C18:L18))</f>
        <v>2</v>
      </c>
      <c r="N18" s="280">
        <f t="shared" ref="N18:N26" si="8">IF(B18="","",M18+ABS(MIN($M$17:$M$26))+1)</f>
        <v>5</v>
      </c>
      <c r="O18" s="279"/>
      <c r="P18" s="280">
        <f t="shared" ref="P18:P26" si="9">IF(B18="","",N18/SUM($N$17:$N$26))</f>
        <v>0.33333333333333331</v>
      </c>
      <c r="Q18" s="254"/>
      <c r="R18" s="274"/>
      <c r="S18" s="254"/>
      <c r="T18" s="254"/>
    </row>
    <row r="19" spans="1:20" x14ac:dyDescent="0.25">
      <c r="A19" s="267">
        <v>3</v>
      </c>
      <c r="B19" s="268" t="str">
        <f>IF(F12="","",F12)</f>
        <v>Power</v>
      </c>
      <c r="C19" s="275">
        <f>-E17</f>
        <v>-1</v>
      </c>
      <c r="D19" s="277">
        <f>-E18</f>
        <v>-1</v>
      </c>
      <c r="E19" s="276"/>
      <c r="F19" s="277">
        <f t="shared" si="0"/>
        <v>0</v>
      </c>
      <c r="G19" s="277">
        <f t="shared" si="1"/>
        <v>0</v>
      </c>
      <c r="H19" s="277">
        <f t="shared" si="2"/>
        <v>0</v>
      </c>
      <c r="I19" s="277">
        <f t="shared" si="3"/>
        <v>0</v>
      </c>
      <c r="J19" s="277">
        <f t="shared" si="4"/>
        <v>0</v>
      </c>
      <c r="K19" s="277">
        <f t="shared" si="5"/>
        <v>0</v>
      </c>
      <c r="L19" s="278">
        <f t="shared" si="6"/>
        <v>0</v>
      </c>
      <c r="M19" s="279">
        <f t="shared" si="7"/>
        <v>-2</v>
      </c>
      <c r="N19" s="280">
        <f t="shared" si="8"/>
        <v>1</v>
      </c>
      <c r="O19" s="279"/>
      <c r="P19" s="280">
        <f t="shared" si="9"/>
        <v>6.6666666666666666E-2</v>
      </c>
      <c r="Q19" s="254"/>
      <c r="R19" s="274"/>
      <c r="S19" s="254"/>
      <c r="T19" s="254"/>
    </row>
    <row r="20" spans="1:20" x14ac:dyDescent="0.25">
      <c r="A20" s="267">
        <v>4</v>
      </c>
      <c r="B20" s="268" t="str">
        <f>IF(H12="","",H12)</f>
        <v>Equilibrium temperature</v>
      </c>
      <c r="C20" s="275">
        <f>-F17</f>
        <v>-1</v>
      </c>
      <c r="D20" s="277">
        <f>-F18</f>
        <v>-1</v>
      </c>
      <c r="E20" s="277">
        <f>-F19</f>
        <v>0</v>
      </c>
      <c r="F20" s="276"/>
      <c r="G20" s="277">
        <f t="shared" si="1"/>
        <v>0</v>
      </c>
      <c r="H20" s="277">
        <f t="shared" si="2"/>
        <v>0</v>
      </c>
      <c r="I20" s="277">
        <f t="shared" si="3"/>
        <v>0</v>
      </c>
      <c r="J20" s="277">
        <f t="shared" si="4"/>
        <v>0</v>
      </c>
      <c r="K20" s="277">
        <f t="shared" si="5"/>
        <v>0</v>
      </c>
      <c r="L20" s="278">
        <f t="shared" si="6"/>
        <v>0</v>
      </c>
      <c r="M20" s="279">
        <f t="shared" si="7"/>
        <v>-2</v>
      </c>
      <c r="N20" s="280">
        <f t="shared" si="8"/>
        <v>1</v>
      </c>
      <c r="O20" s="279"/>
      <c r="P20" s="280">
        <f t="shared" si="9"/>
        <v>6.6666666666666666E-2</v>
      </c>
      <c r="Q20" s="254"/>
      <c r="R20" s="274"/>
      <c r="S20" s="254"/>
      <c r="T20" s="254"/>
    </row>
    <row r="21" spans="1:20" x14ac:dyDescent="0.25">
      <c r="A21" s="267">
        <v>5</v>
      </c>
      <c r="B21" s="268" t="str">
        <f>IF(J12="","",J12)</f>
        <v>E</v>
      </c>
      <c r="C21" s="275">
        <f>-G17</f>
        <v>-1</v>
      </c>
      <c r="D21" s="277">
        <f>-G18</f>
        <v>-1</v>
      </c>
      <c r="E21" s="277">
        <f>-G19</f>
        <v>0</v>
      </c>
      <c r="F21" s="277">
        <f>-G20</f>
        <v>0</v>
      </c>
      <c r="G21" s="276"/>
      <c r="H21" s="277">
        <f t="shared" si="2"/>
        <v>0</v>
      </c>
      <c r="I21" s="277">
        <f t="shared" si="3"/>
        <v>0</v>
      </c>
      <c r="J21" s="277">
        <f t="shared" si="4"/>
        <v>0</v>
      </c>
      <c r="K21" s="277">
        <f t="shared" si="5"/>
        <v>0</v>
      </c>
      <c r="L21" s="278">
        <f t="shared" si="6"/>
        <v>0</v>
      </c>
      <c r="M21" s="279">
        <f t="shared" si="7"/>
        <v>-2</v>
      </c>
      <c r="N21" s="280">
        <f t="shared" si="8"/>
        <v>1</v>
      </c>
      <c r="O21" s="279"/>
      <c r="P21" s="280">
        <f t="shared" si="9"/>
        <v>6.6666666666666666E-2</v>
      </c>
      <c r="Q21" s="254"/>
      <c r="R21" s="274"/>
      <c r="S21" s="254"/>
      <c r="T21" s="254"/>
    </row>
    <row r="22" spans="1:20" x14ac:dyDescent="0.25">
      <c r="A22" s="267">
        <v>6</v>
      </c>
      <c r="B22" s="268" t="str">
        <f>IF(L12="","",L12)</f>
        <v/>
      </c>
      <c r="C22" s="275">
        <f>-H17</f>
        <v>0</v>
      </c>
      <c r="D22" s="277">
        <f>-H18</f>
        <v>0</v>
      </c>
      <c r="E22" s="277">
        <f>-H19</f>
        <v>0</v>
      </c>
      <c r="F22" s="277">
        <f>-H20</f>
        <v>0</v>
      </c>
      <c r="G22" s="277">
        <f>-H21</f>
        <v>0</v>
      </c>
      <c r="H22" s="276"/>
      <c r="I22" s="277">
        <f t="shared" si="3"/>
        <v>0</v>
      </c>
      <c r="J22" s="277">
        <f t="shared" si="4"/>
        <v>0</v>
      </c>
      <c r="K22" s="277">
        <f t="shared" si="5"/>
        <v>0</v>
      </c>
      <c r="L22" s="278">
        <f t="shared" si="6"/>
        <v>0</v>
      </c>
      <c r="M22" s="279" t="str">
        <f t="shared" si="7"/>
        <v/>
      </c>
      <c r="N22" s="280" t="str">
        <f>IF(B22="","",M22+ABS(MIN($M$17:$M$26))+1)</f>
        <v/>
      </c>
      <c r="O22" s="279"/>
      <c r="P22" s="280" t="str">
        <f t="shared" si="9"/>
        <v/>
      </c>
      <c r="Q22" s="254"/>
      <c r="R22" s="274"/>
      <c r="S22" s="254"/>
      <c r="T22" s="254"/>
    </row>
    <row r="23" spans="1:20" x14ac:dyDescent="0.25">
      <c r="A23" s="267">
        <v>7</v>
      </c>
      <c r="B23" s="268" t="str">
        <f>IF(N12="","",N12)</f>
        <v/>
      </c>
      <c r="C23" s="275">
        <f>-I17</f>
        <v>0</v>
      </c>
      <c r="D23" s="277">
        <f>-I18</f>
        <v>0</v>
      </c>
      <c r="E23" s="277">
        <f>-I19</f>
        <v>0</v>
      </c>
      <c r="F23" s="277">
        <f>-I20</f>
        <v>0</v>
      </c>
      <c r="G23" s="277">
        <f>-I21</f>
        <v>0</v>
      </c>
      <c r="H23" s="277">
        <f>-I22</f>
        <v>0</v>
      </c>
      <c r="I23" s="276"/>
      <c r="J23" s="277">
        <f t="shared" si="4"/>
        <v>0</v>
      </c>
      <c r="K23" s="277">
        <f t="shared" si="5"/>
        <v>0</v>
      </c>
      <c r="L23" s="278">
        <f t="shared" si="6"/>
        <v>0</v>
      </c>
      <c r="M23" s="279" t="str">
        <f t="shared" si="7"/>
        <v/>
      </c>
      <c r="N23" s="280" t="str">
        <f t="shared" si="8"/>
        <v/>
      </c>
      <c r="O23" s="279"/>
      <c r="P23" s="280" t="str">
        <f t="shared" si="9"/>
        <v/>
      </c>
      <c r="Q23" s="254"/>
      <c r="R23" s="274"/>
      <c r="S23" s="254"/>
      <c r="T23" s="254"/>
    </row>
    <row r="24" spans="1:20" x14ac:dyDescent="0.25">
      <c r="A24" s="267">
        <v>8</v>
      </c>
      <c r="B24" s="268" t="str">
        <f>IF(P12="","",P12)</f>
        <v/>
      </c>
      <c r="C24" s="275">
        <f>-J17</f>
        <v>0</v>
      </c>
      <c r="D24" s="277">
        <f>-J18</f>
        <v>0</v>
      </c>
      <c r="E24" s="277">
        <f>-J19</f>
        <v>0</v>
      </c>
      <c r="F24" s="277">
        <f>-J20</f>
        <v>0</v>
      </c>
      <c r="G24" s="277">
        <f>-J21</f>
        <v>0</v>
      </c>
      <c r="H24" s="277">
        <f>-J22</f>
        <v>0</v>
      </c>
      <c r="I24" s="277">
        <f>-J23</f>
        <v>0</v>
      </c>
      <c r="J24" s="276"/>
      <c r="K24" s="277">
        <f t="shared" si="5"/>
        <v>0</v>
      </c>
      <c r="L24" s="278">
        <f t="shared" si="6"/>
        <v>0</v>
      </c>
      <c r="M24" s="279" t="str">
        <f t="shared" si="7"/>
        <v/>
      </c>
      <c r="N24" s="280" t="str">
        <f t="shared" si="8"/>
        <v/>
      </c>
      <c r="O24" s="279"/>
      <c r="P24" s="280" t="str">
        <f t="shared" si="9"/>
        <v/>
      </c>
      <c r="Q24" s="254"/>
      <c r="R24" s="274"/>
      <c r="S24" s="254"/>
      <c r="T24" s="254"/>
    </row>
    <row r="25" spans="1:20" x14ac:dyDescent="0.25">
      <c r="A25" s="267">
        <v>9</v>
      </c>
      <c r="B25" s="268" t="str">
        <f>IF(R12="","",R12)</f>
        <v/>
      </c>
      <c r="C25" s="275">
        <f>-K17</f>
        <v>0</v>
      </c>
      <c r="D25" s="277">
        <f>-K18</f>
        <v>0</v>
      </c>
      <c r="E25" s="277">
        <f>-K19</f>
        <v>0</v>
      </c>
      <c r="F25" s="277">
        <f>-K20</f>
        <v>0</v>
      </c>
      <c r="G25" s="277">
        <f>-K21</f>
        <v>0</v>
      </c>
      <c r="H25" s="277">
        <f>-K22</f>
        <v>0</v>
      </c>
      <c r="I25" s="277">
        <f>-K23</f>
        <v>0</v>
      </c>
      <c r="J25" s="277">
        <f>-K24</f>
        <v>0</v>
      </c>
      <c r="K25" s="276"/>
      <c r="L25" s="278">
        <f t="shared" si="6"/>
        <v>0</v>
      </c>
      <c r="M25" s="279" t="str">
        <f t="shared" si="7"/>
        <v/>
      </c>
      <c r="N25" s="280" t="str">
        <f t="shared" si="8"/>
        <v/>
      </c>
      <c r="O25" s="279"/>
      <c r="P25" s="280" t="str">
        <f t="shared" si="9"/>
        <v/>
      </c>
      <c r="Q25" s="254"/>
      <c r="R25" s="274"/>
      <c r="S25" s="254"/>
      <c r="T25" s="254"/>
    </row>
    <row r="26" spans="1:20" ht="15.75" thickBot="1" x14ac:dyDescent="0.3">
      <c r="A26" s="281">
        <v>10</v>
      </c>
      <c r="B26" s="282" t="str">
        <f>IF(T12="","",T12)</f>
        <v/>
      </c>
      <c r="C26" s="283">
        <f>-L17</f>
        <v>0</v>
      </c>
      <c r="D26" s="284">
        <f>-L18</f>
        <v>0</v>
      </c>
      <c r="E26" s="284">
        <f>-L19</f>
        <v>0</v>
      </c>
      <c r="F26" s="284">
        <f>-L20</f>
        <v>0</v>
      </c>
      <c r="G26" s="284">
        <f>-L21</f>
        <v>0</v>
      </c>
      <c r="H26" s="284">
        <f>-L22</f>
        <v>0</v>
      </c>
      <c r="I26" s="284">
        <f>-L23</f>
        <v>0</v>
      </c>
      <c r="J26" s="284">
        <f>-L24</f>
        <v>0</v>
      </c>
      <c r="K26" s="284">
        <f>-L25</f>
        <v>0</v>
      </c>
      <c r="L26" s="285"/>
      <c r="M26" s="286" t="str">
        <f t="shared" si="7"/>
        <v/>
      </c>
      <c r="N26" s="287" t="str">
        <f t="shared" si="8"/>
        <v/>
      </c>
      <c r="O26" s="286"/>
      <c r="P26" s="287" t="str">
        <f t="shared" si="9"/>
        <v/>
      </c>
      <c r="Q26" s="254"/>
      <c r="R26" s="274"/>
      <c r="S26" s="254"/>
      <c r="T26" s="274"/>
    </row>
    <row r="27" spans="1:20" x14ac:dyDescent="0.25">
      <c r="A27" s="254"/>
      <c r="B27" s="254"/>
      <c r="C27" s="254"/>
      <c r="D27" s="254"/>
      <c r="E27" s="254"/>
      <c r="F27" s="254"/>
      <c r="G27" s="254"/>
      <c r="H27" s="254"/>
      <c r="I27" s="254"/>
      <c r="J27" s="254"/>
      <c r="K27" s="254"/>
      <c r="L27" s="254"/>
      <c r="M27" s="254"/>
      <c r="N27" s="254"/>
      <c r="O27" s="254"/>
      <c r="P27" s="254"/>
      <c r="Q27" s="254"/>
      <c r="R27" s="254"/>
      <c r="S27" s="254"/>
      <c r="T27" s="254"/>
    </row>
    <row r="28" spans="1:20" x14ac:dyDescent="0.25">
      <c r="A28" s="254"/>
      <c r="B28" s="254"/>
      <c r="C28" s="254"/>
      <c r="D28" s="254"/>
      <c r="E28" s="254"/>
      <c r="F28" s="254"/>
      <c r="G28" s="254"/>
      <c r="H28" s="254"/>
      <c r="I28" s="254"/>
      <c r="J28" s="254"/>
      <c r="K28" s="254"/>
      <c r="L28" s="254"/>
      <c r="M28" s="254"/>
      <c r="N28" s="254"/>
      <c r="O28" s="254"/>
      <c r="P28" s="274"/>
      <c r="Q28" s="274"/>
      <c r="R28" s="254"/>
      <c r="S28" s="254"/>
      <c r="T28" s="254"/>
    </row>
    <row r="29" spans="1:20" ht="15.75" thickBot="1" x14ac:dyDescent="0.3">
      <c r="A29" s="256" t="s">
        <v>426</v>
      </c>
      <c r="B29" s="254"/>
      <c r="C29" s="254"/>
      <c r="D29" s="254"/>
      <c r="E29" s="254"/>
      <c r="F29" s="254"/>
      <c r="G29" s="254"/>
      <c r="H29" s="254"/>
      <c r="I29" s="254"/>
      <c r="J29" s="254"/>
      <c r="K29" s="254"/>
      <c r="L29" s="254"/>
      <c r="M29" s="254"/>
      <c r="N29" s="254"/>
      <c r="O29" s="254"/>
      <c r="P29" s="254"/>
      <c r="Q29" s="254"/>
      <c r="R29" s="254"/>
      <c r="S29" s="254"/>
      <c r="T29" s="254"/>
    </row>
    <row r="30" spans="1:20" ht="53.25" thickBot="1" x14ac:dyDescent="0.3">
      <c r="A30" s="369" t="s">
        <v>398</v>
      </c>
      <c r="B30" s="371" t="s">
        <v>427</v>
      </c>
      <c r="C30" s="288" t="s">
        <v>428</v>
      </c>
      <c r="D30" s="289" t="s">
        <v>429</v>
      </c>
      <c r="E30" s="289" t="s">
        <v>430</v>
      </c>
      <c r="F30" s="289" t="s">
        <v>431</v>
      </c>
      <c r="G30" s="289" t="s">
        <v>432</v>
      </c>
      <c r="H30" s="289" t="s">
        <v>433</v>
      </c>
      <c r="I30" s="289" t="s">
        <v>434</v>
      </c>
      <c r="J30" s="289" t="s">
        <v>435</v>
      </c>
      <c r="K30" s="289" t="s">
        <v>436</v>
      </c>
      <c r="L30" s="289" t="s">
        <v>437</v>
      </c>
      <c r="M30" s="289" t="s">
        <v>438</v>
      </c>
      <c r="N30" s="289" t="s">
        <v>439</v>
      </c>
      <c r="O30" s="289" t="s">
        <v>440</v>
      </c>
      <c r="P30" s="289" t="s">
        <v>441</v>
      </c>
      <c r="Q30" s="289" t="s">
        <v>442</v>
      </c>
      <c r="R30" s="373" t="s">
        <v>443</v>
      </c>
      <c r="S30" s="254"/>
      <c r="T30" s="254"/>
    </row>
    <row r="31" spans="1:20" ht="38.25" thickBot="1" x14ac:dyDescent="0.3">
      <c r="A31" s="370"/>
      <c r="B31" s="372"/>
      <c r="C31" s="290" t="s">
        <v>444</v>
      </c>
      <c r="D31" s="291" t="s">
        <v>445</v>
      </c>
      <c r="E31" s="291" t="s">
        <v>446</v>
      </c>
      <c r="F31" s="291" t="s">
        <v>447</v>
      </c>
      <c r="G31" s="291" t="s">
        <v>448</v>
      </c>
      <c r="H31" s="291" t="s">
        <v>449</v>
      </c>
      <c r="I31" s="291" t="s">
        <v>450</v>
      </c>
      <c r="J31" s="291" t="s">
        <v>451</v>
      </c>
      <c r="K31" s="291" t="s">
        <v>452</v>
      </c>
      <c r="L31" s="291" t="s">
        <v>453</v>
      </c>
      <c r="M31" s="291" t="s">
        <v>454</v>
      </c>
      <c r="N31" s="291" t="s">
        <v>455</v>
      </c>
      <c r="O31" s="291" t="s">
        <v>456</v>
      </c>
      <c r="P31" s="291" t="s">
        <v>457</v>
      </c>
      <c r="Q31" s="292" t="s">
        <v>458</v>
      </c>
      <c r="R31" s="374"/>
      <c r="S31" s="254"/>
      <c r="T31" s="254"/>
    </row>
    <row r="32" spans="1:20" ht="15" customHeight="1" x14ac:dyDescent="0.25">
      <c r="A32" s="375" t="s">
        <v>527</v>
      </c>
      <c r="B32" s="267" t="str">
        <f>B17</f>
        <v>Mass</v>
      </c>
      <c r="C32" s="293">
        <v>3</v>
      </c>
      <c r="D32" s="294">
        <v>3</v>
      </c>
      <c r="E32" s="294">
        <v>3</v>
      </c>
      <c r="F32" s="294"/>
      <c r="G32" s="294"/>
      <c r="H32" s="294"/>
      <c r="I32" s="294"/>
      <c r="J32" s="294"/>
      <c r="K32" s="294"/>
      <c r="L32" s="294"/>
      <c r="M32" s="294"/>
      <c r="N32" s="294"/>
      <c r="O32" s="294"/>
      <c r="P32" s="294"/>
      <c r="Q32" s="295"/>
      <c r="R32" s="273">
        <f>IF(B17="",0,P17)</f>
        <v>0.46666666666666667</v>
      </c>
      <c r="S32" s="254"/>
      <c r="T32" s="254"/>
    </row>
    <row r="33" spans="1:28" x14ac:dyDescent="0.25">
      <c r="A33" s="376"/>
      <c r="B33" s="267" t="str">
        <f t="shared" ref="B33:B41" si="10">B18</f>
        <v>Cost</v>
      </c>
      <c r="C33" s="296">
        <v>5</v>
      </c>
      <c r="D33" s="297">
        <v>7</v>
      </c>
      <c r="E33" s="297">
        <v>4</v>
      </c>
      <c r="F33" s="297"/>
      <c r="G33" s="297"/>
      <c r="H33" s="297"/>
      <c r="I33" s="297"/>
      <c r="J33" s="297"/>
      <c r="K33" s="297"/>
      <c r="L33" s="297"/>
      <c r="M33" s="297"/>
      <c r="N33" s="297"/>
      <c r="O33" s="297"/>
      <c r="P33" s="297"/>
      <c r="Q33" s="298"/>
      <c r="R33" s="280">
        <f t="shared" ref="R33:R41" si="11">IF(B18="",0,P18)</f>
        <v>0.33333333333333331</v>
      </c>
      <c r="S33" s="254"/>
      <c r="T33" s="254"/>
    </row>
    <row r="34" spans="1:28" x14ac:dyDescent="0.25">
      <c r="A34" s="376"/>
      <c r="B34" s="267" t="str">
        <f t="shared" si="10"/>
        <v>Power</v>
      </c>
      <c r="C34" s="296">
        <v>8</v>
      </c>
      <c r="D34" s="297">
        <v>5</v>
      </c>
      <c r="E34" s="297">
        <v>2</v>
      </c>
      <c r="F34" s="297"/>
      <c r="G34" s="297"/>
      <c r="H34" s="297"/>
      <c r="I34" s="297"/>
      <c r="J34" s="297"/>
      <c r="K34" s="297"/>
      <c r="L34" s="297"/>
      <c r="M34" s="297"/>
      <c r="N34" s="297"/>
      <c r="O34" s="297"/>
      <c r="P34" s="297"/>
      <c r="Q34" s="298"/>
      <c r="R34" s="280">
        <f t="shared" si="11"/>
        <v>6.6666666666666666E-2</v>
      </c>
      <c r="S34" s="254"/>
      <c r="T34" s="254"/>
    </row>
    <row r="35" spans="1:28" x14ac:dyDescent="0.25">
      <c r="A35" s="376"/>
      <c r="B35" s="267" t="str">
        <f t="shared" si="10"/>
        <v>Equilibrium temperature</v>
      </c>
      <c r="C35" s="296">
        <v>4</v>
      </c>
      <c r="D35" s="297">
        <v>3</v>
      </c>
      <c r="E35" s="297">
        <v>1</v>
      </c>
      <c r="F35" s="297"/>
      <c r="G35" s="297"/>
      <c r="H35" s="297"/>
      <c r="I35" s="297"/>
      <c r="J35" s="297"/>
      <c r="K35" s="297"/>
      <c r="L35" s="297"/>
      <c r="M35" s="297"/>
      <c r="N35" s="297"/>
      <c r="O35" s="297"/>
      <c r="P35" s="297"/>
      <c r="Q35" s="298"/>
      <c r="R35" s="280">
        <f t="shared" si="11"/>
        <v>6.6666666666666666E-2</v>
      </c>
      <c r="S35" s="254"/>
      <c r="T35" s="254"/>
    </row>
    <row r="36" spans="1:28" x14ac:dyDescent="0.25">
      <c r="A36" s="376"/>
      <c r="B36" s="267" t="str">
        <f t="shared" si="10"/>
        <v>E</v>
      </c>
      <c r="C36" s="296"/>
      <c r="D36" s="297"/>
      <c r="E36" s="297"/>
      <c r="F36" s="297"/>
      <c r="G36" s="297"/>
      <c r="H36" s="297"/>
      <c r="I36" s="297"/>
      <c r="J36" s="297"/>
      <c r="K36" s="297"/>
      <c r="L36" s="297"/>
      <c r="M36" s="297"/>
      <c r="N36" s="297"/>
      <c r="O36" s="297"/>
      <c r="P36" s="297"/>
      <c r="Q36" s="298"/>
      <c r="R36" s="280">
        <f t="shared" si="11"/>
        <v>6.6666666666666666E-2</v>
      </c>
      <c r="S36" s="254"/>
      <c r="T36" s="254"/>
    </row>
    <row r="37" spans="1:28" x14ac:dyDescent="0.25">
      <c r="A37" s="376"/>
      <c r="B37" s="267" t="str">
        <f t="shared" si="10"/>
        <v/>
      </c>
      <c r="C37" s="296"/>
      <c r="D37" s="297"/>
      <c r="E37" s="297"/>
      <c r="F37" s="297"/>
      <c r="G37" s="297"/>
      <c r="H37" s="297"/>
      <c r="I37" s="297"/>
      <c r="J37" s="297"/>
      <c r="K37" s="297"/>
      <c r="L37" s="297"/>
      <c r="M37" s="297"/>
      <c r="N37" s="297"/>
      <c r="O37" s="297"/>
      <c r="P37" s="297"/>
      <c r="Q37" s="298"/>
      <c r="R37" s="280">
        <f t="shared" si="11"/>
        <v>0</v>
      </c>
      <c r="S37" s="254"/>
      <c r="T37" s="254"/>
    </row>
    <row r="38" spans="1:28" x14ac:dyDescent="0.25">
      <c r="A38" s="376"/>
      <c r="B38" s="267" t="str">
        <f t="shared" si="10"/>
        <v/>
      </c>
      <c r="C38" s="296"/>
      <c r="D38" s="297"/>
      <c r="E38" s="297"/>
      <c r="F38" s="299"/>
      <c r="G38" s="297"/>
      <c r="H38" s="297"/>
      <c r="I38" s="297"/>
      <c r="J38" s="297"/>
      <c r="K38" s="297"/>
      <c r="L38" s="297"/>
      <c r="M38" s="297"/>
      <c r="N38" s="297"/>
      <c r="O38" s="297"/>
      <c r="P38" s="297"/>
      <c r="Q38" s="298"/>
      <c r="R38" s="280">
        <f t="shared" si="11"/>
        <v>0</v>
      </c>
      <c r="S38" s="254"/>
      <c r="T38" s="254"/>
    </row>
    <row r="39" spans="1:28" x14ac:dyDescent="0.25">
      <c r="A39" s="376"/>
      <c r="B39" s="267" t="str">
        <f t="shared" si="10"/>
        <v/>
      </c>
      <c r="C39" s="296"/>
      <c r="D39" s="297"/>
      <c r="E39" s="297"/>
      <c r="F39" s="297"/>
      <c r="G39" s="297"/>
      <c r="H39" s="297"/>
      <c r="I39" s="297"/>
      <c r="J39" s="297"/>
      <c r="K39" s="297"/>
      <c r="L39" s="297"/>
      <c r="M39" s="297"/>
      <c r="N39" s="297"/>
      <c r="O39" s="297"/>
      <c r="P39" s="297"/>
      <c r="Q39" s="298"/>
      <c r="R39" s="280">
        <f t="shared" si="11"/>
        <v>0</v>
      </c>
      <c r="S39" s="254"/>
      <c r="T39" s="254"/>
    </row>
    <row r="40" spans="1:28" x14ac:dyDescent="0.25">
      <c r="A40" s="376"/>
      <c r="B40" s="267" t="str">
        <f t="shared" si="10"/>
        <v/>
      </c>
      <c r="C40" s="296"/>
      <c r="D40" s="297"/>
      <c r="E40" s="297"/>
      <c r="F40" s="297"/>
      <c r="G40" s="297"/>
      <c r="H40" s="297"/>
      <c r="I40" s="297"/>
      <c r="J40" s="297"/>
      <c r="K40" s="297"/>
      <c r="L40" s="297"/>
      <c r="M40" s="297"/>
      <c r="N40" s="297"/>
      <c r="O40" s="297"/>
      <c r="P40" s="297"/>
      <c r="Q40" s="298"/>
      <c r="R40" s="280">
        <f t="shared" si="11"/>
        <v>0</v>
      </c>
      <c r="S40" s="254"/>
      <c r="T40" s="254"/>
    </row>
    <row r="41" spans="1:28" ht="15.75" thickBot="1" x14ac:dyDescent="0.3">
      <c r="A41" s="377"/>
      <c r="B41" s="267" t="str">
        <f t="shared" si="10"/>
        <v/>
      </c>
      <c r="C41" s="300"/>
      <c r="D41" s="301"/>
      <c r="E41" s="301"/>
      <c r="F41" s="301"/>
      <c r="G41" s="301"/>
      <c r="H41" s="301"/>
      <c r="I41" s="301"/>
      <c r="J41" s="301"/>
      <c r="K41" s="301"/>
      <c r="L41" s="301"/>
      <c r="M41" s="301"/>
      <c r="N41" s="301"/>
      <c r="O41" s="301"/>
      <c r="P41" s="301"/>
      <c r="Q41" s="302"/>
      <c r="R41" s="287">
        <f t="shared" si="11"/>
        <v>0</v>
      </c>
      <c r="S41" s="254"/>
      <c r="T41" s="254"/>
    </row>
    <row r="42" spans="1:28" ht="15.75" thickBot="1" x14ac:dyDescent="0.3">
      <c r="A42" s="267"/>
      <c r="B42" s="303" t="s">
        <v>423</v>
      </c>
      <c r="C42" s="304">
        <f>C32*$R32+C33*$R33+C34*$R34+C35*$R35+C36*$R36+C37*$R37+C38*$R38+C39*$R39+C40*$R40+C41*$R41</f>
        <v>3.8666666666666663</v>
      </c>
      <c r="D42" s="305">
        <f t="shared" ref="D42:Q42" si="12">D32*$R32+D33*$R33+D34*$R34+D35*$R35+D36*$R36+D37*$R37+D38*$R38+D39*$R39+D40*$R40+D41*$R41</f>
        <v>4.2666666666666666</v>
      </c>
      <c r="E42" s="305">
        <f t="shared" si="12"/>
        <v>2.9333333333333336</v>
      </c>
      <c r="F42" s="305">
        <f t="shared" si="12"/>
        <v>0</v>
      </c>
      <c r="G42" s="305">
        <f t="shared" si="12"/>
        <v>0</v>
      </c>
      <c r="H42" s="305">
        <f t="shared" si="12"/>
        <v>0</v>
      </c>
      <c r="I42" s="305">
        <f t="shared" si="12"/>
        <v>0</v>
      </c>
      <c r="J42" s="305">
        <f t="shared" si="12"/>
        <v>0</v>
      </c>
      <c r="K42" s="305">
        <f t="shared" si="12"/>
        <v>0</v>
      </c>
      <c r="L42" s="305">
        <f t="shared" si="12"/>
        <v>0</v>
      </c>
      <c r="M42" s="305">
        <f t="shared" si="12"/>
        <v>0</v>
      </c>
      <c r="N42" s="305">
        <f t="shared" si="12"/>
        <v>0</v>
      </c>
      <c r="O42" s="305">
        <f t="shared" si="12"/>
        <v>0</v>
      </c>
      <c r="P42" s="305">
        <f t="shared" si="12"/>
        <v>0</v>
      </c>
      <c r="Q42" s="306">
        <f t="shared" si="12"/>
        <v>0</v>
      </c>
      <c r="R42" s="307"/>
      <c r="S42" s="254"/>
      <c r="T42" s="254"/>
    </row>
    <row r="43" spans="1:28" ht="15.75" thickBot="1" x14ac:dyDescent="0.3">
      <c r="A43" s="281"/>
      <c r="B43" s="308" t="s">
        <v>459</v>
      </c>
      <c r="C43" s="309">
        <f>RANK(C42,$C42:$Q42)</f>
        <v>2</v>
      </c>
      <c r="D43" s="310">
        <f t="shared" ref="D43:Q43" si="13">RANK(D42,$C42:$Q42)</f>
        <v>1</v>
      </c>
      <c r="E43" s="310">
        <f t="shared" si="13"/>
        <v>3</v>
      </c>
      <c r="F43" s="310">
        <f t="shared" si="13"/>
        <v>4</v>
      </c>
      <c r="G43" s="310">
        <f t="shared" si="13"/>
        <v>4</v>
      </c>
      <c r="H43" s="310">
        <f t="shared" si="13"/>
        <v>4</v>
      </c>
      <c r="I43" s="310">
        <f t="shared" si="13"/>
        <v>4</v>
      </c>
      <c r="J43" s="310">
        <f t="shared" si="13"/>
        <v>4</v>
      </c>
      <c r="K43" s="310">
        <f t="shared" si="13"/>
        <v>4</v>
      </c>
      <c r="L43" s="310">
        <f t="shared" si="13"/>
        <v>4</v>
      </c>
      <c r="M43" s="310">
        <f t="shared" si="13"/>
        <v>4</v>
      </c>
      <c r="N43" s="310">
        <f t="shared" si="13"/>
        <v>4</v>
      </c>
      <c r="O43" s="310">
        <f t="shared" si="13"/>
        <v>4</v>
      </c>
      <c r="P43" s="310">
        <f t="shared" si="13"/>
        <v>4</v>
      </c>
      <c r="Q43" s="311">
        <f t="shared" si="13"/>
        <v>4</v>
      </c>
      <c r="R43" s="312"/>
      <c r="S43" s="254"/>
      <c r="T43" s="254"/>
    </row>
    <row r="44" spans="1:28" x14ac:dyDescent="0.25">
      <c r="A44" s="254"/>
      <c r="B44" s="254"/>
      <c r="C44" s="254"/>
      <c r="D44" s="254"/>
      <c r="E44" s="254"/>
      <c r="F44" s="254"/>
      <c r="G44" s="254"/>
      <c r="H44" s="254"/>
      <c r="I44" s="254"/>
      <c r="J44" s="254"/>
      <c r="K44" s="254"/>
      <c r="L44" s="254"/>
      <c r="M44" s="254"/>
      <c r="N44" s="254"/>
      <c r="O44" s="254"/>
      <c r="P44" s="254"/>
      <c r="Q44" s="254"/>
      <c r="R44" s="254"/>
      <c r="S44" s="254"/>
      <c r="T44" s="254"/>
    </row>
    <row r="45" spans="1:28" ht="15.75" thickBot="1" x14ac:dyDescent="0.3">
      <c r="A45" s="254"/>
      <c r="B45" s="254"/>
      <c r="C45" s="254"/>
      <c r="D45" s="254"/>
      <c r="E45" s="254"/>
      <c r="F45" s="254"/>
      <c r="G45" s="254"/>
      <c r="H45" s="254"/>
      <c r="I45" s="254"/>
      <c r="J45" s="254"/>
      <c r="K45" s="254"/>
      <c r="L45" s="254"/>
      <c r="M45" s="254"/>
      <c r="N45" s="254"/>
      <c r="O45" s="254"/>
      <c r="P45" s="254"/>
      <c r="Q45" s="254"/>
      <c r="R45" s="254"/>
      <c r="S45" s="254"/>
      <c r="T45" s="254"/>
    </row>
    <row r="46" spans="1:28" x14ac:dyDescent="0.25">
      <c r="A46" s="254"/>
      <c r="B46" s="254"/>
      <c r="C46" s="254"/>
      <c r="D46" s="254"/>
      <c r="E46" s="254"/>
      <c r="F46" s="254"/>
      <c r="G46" s="254"/>
      <c r="H46" s="254"/>
      <c r="I46" s="254"/>
      <c r="J46" s="254"/>
      <c r="K46" s="254"/>
      <c r="L46" s="254"/>
      <c r="M46" s="254"/>
      <c r="N46" s="254"/>
      <c r="O46" s="254"/>
      <c r="P46" s="254"/>
      <c r="Q46" s="254"/>
      <c r="R46" s="254"/>
      <c r="S46" s="254"/>
      <c r="T46" s="319" t="s">
        <v>516</v>
      </c>
      <c r="U46" s="320"/>
      <c r="V46" s="320"/>
      <c r="W46" s="320"/>
      <c r="X46" s="320"/>
      <c r="Y46" s="320"/>
      <c r="Z46" s="320"/>
      <c r="AA46" s="320"/>
      <c r="AB46" s="321"/>
    </row>
    <row r="47" spans="1:28" x14ac:dyDescent="0.25">
      <c r="A47" s="254"/>
      <c r="B47" s="254"/>
      <c r="C47" s="254"/>
      <c r="D47" s="254"/>
      <c r="E47" s="254"/>
      <c r="F47" s="254"/>
      <c r="G47" s="254"/>
      <c r="H47" s="254"/>
      <c r="I47" s="254"/>
      <c r="J47" s="254"/>
      <c r="K47" s="254"/>
      <c r="L47" s="254"/>
      <c r="M47" s="254"/>
      <c r="N47" s="254"/>
      <c r="O47" s="254"/>
      <c r="P47" s="254"/>
      <c r="Q47" s="254"/>
      <c r="R47" s="254"/>
      <c r="S47" s="254"/>
      <c r="T47" s="322" t="s">
        <v>517</v>
      </c>
      <c r="AB47" s="323"/>
    </row>
    <row r="48" spans="1:28" x14ac:dyDescent="0.25">
      <c r="A48" s="254"/>
      <c r="B48" s="254"/>
      <c r="C48" s="254"/>
      <c r="D48" s="254"/>
      <c r="E48" s="254"/>
      <c r="F48" s="254"/>
      <c r="G48" s="254"/>
      <c r="H48" s="254"/>
      <c r="I48" s="254"/>
      <c r="J48" s="254"/>
      <c r="K48" s="254"/>
      <c r="L48" s="254"/>
      <c r="M48" s="254"/>
      <c r="N48" s="254"/>
      <c r="O48" s="254"/>
      <c r="P48" s="254"/>
      <c r="Q48" s="254"/>
      <c r="R48" s="254"/>
      <c r="S48" s="254"/>
      <c r="T48" s="322" t="s">
        <v>518</v>
      </c>
      <c r="AB48" s="323"/>
    </row>
    <row r="49" spans="1:28" x14ac:dyDescent="0.25">
      <c r="A49" s="254"/>
      <c r="B49" s="254"/>
      <c r="C49" s="254"/>
      <c r="D49" s="254"/>
      <c r="E49" s="254"/>
      <c r="F49" s="254"/>
      <c r="G49" s="254"/>
      <c r="H49" s="254"/>
      <c r="I49" s="254"/>
      <c r="J49" s="254"/>
      <c r="K49" s="254"/>
      <c r="L49" s="254"/>
      <c r="M49" s="254"/>
      <c r="N49" s="254"/>
      <c r="O49" s="254"/>
      <c r="P49" s="254"/>
      <c r="Q49" s="254"/>
      <c r="R49" s="254"/>
      <c r="S49" s="254"/>
      <c r="T49" s="322" t="s">
        <v>519</v>
      </c>
      <c r="AB49" s="323"/>
    </row>
    <row r="50" spans="1:28" x14ac:dyDescent="0.25">
      <c r="A50" s="254"/>
      <c r="B50" s="254"/>
      <c r="C50" s="254"/>
      <c r="D50" s="254"/>
      <c r="E50" s="254"/>
      <c r="F50" s="254"/>
      <c r="G50" s="254"/>
      <c r="H50" s="254"/>
      <c r="I50" s="254"/>
      <c r="J50" s="254"/>
      <c r="K50" s="254"/>
      <c r="L50" s="254"/>
      <c r="M50" s="254"/>
      <c r="N50" s="254"/>
      <c r="O50" s="254"/>
      <c r="P50" s="254"/>
      <c r="Q50" s="254"/>
      <c r="R50" s="254"/>
      <c r="S50" s="254"/>
      <c r="T50" s="322" t="s">
        <v>520</v>
      </c>
      <c r="AB50" s="323"/>
    </row>
    <row r="51" spans="1:28" x14ac:dyDescent="0.25">
      <c r="A51" s="254"/>
      <c r="B51" s="254"/>
      <c r="C51" s="254"/>
      <c r="D51" s="254"/>
      <c r="E51" s="254"/>
      <c r="F51" s="254"/>
      <c r="G51" s="254"/>
      <c r="H51" s="254"/>
      <c r="I51" s="254"/>
      <c r="J51" s="254"/>
      <c r="K51" s="254"/>
      <c r="L51" s="254"/>
      <c r="M51" s="254"/>
      <c r="N51" s="254"/>
      <c r="O51" s="254"/>
      <c r="P51" s="254"/>
      <c r="Q51" s="254"/>
      <c r="R51" s="254"/>
      <c r="S51" s="254"/>
      <c r="T51" s="322" t="s">
        <v>521</v>
      </c>
      <c r="AB51" s="323"/>
    </row>
    <row r="52" spans="1:28" ht="15.75" thickBot="1" x14ac:dyDescent="0.3">
      <c r="A52" s="254"/>
      <c r="B52" s="254"/>
      <c r="C52" s="254"/>
      <c r="D52" s="254"/>
      <c r="E52" s="254"/>
      <c r="F52" s="254"/>
      <c r="G52" s="254"/>
      <c r="H52" s="254"/>
      <c r="I52" s="254"/>
      <c r="J52" s="254"/>
      <c r="K52" s="254"/>
      <c r="L52" s="254"/>
      <c r="M52" s="254"/>
      <c r="N52" s="254"/>
      <c r="O52" s="254"/>
      <c r="P52" s="254"/>
      <c r="Q52" s="254"/>
      <c r="R52" s="254"/>
      <c r="S52" s="254"/>
      <c r="T52" s="324" t="s">
        <v>522</v>
      </c>
      <c r="U52" s="325"/>
      <c r="V52" s="325"/>
      <c r="W52" s="325"/>
      <c r="X52" s="325"/>
      <c r="Y52" s="325"/>
      <c r="Z52" s="325"/>
      <c r="AA52" s="325"/>
      <c r="AB52" s="326"/>
    </row>
    <row r="53" spans="1:28" x14ac:dyDescent="0.25">
      <c r="A53" s="254"/>
      <c r="B53" s="254"/>
      <c r="C53" s="254"/>
      <c r="D53" s="254"/>
      <c r="E53" s="254"/>
      <c r="F53" s="254"/>
      <c r="G53" s="254"/>
      <c r="H53" s="254"/>
      <c r="I53" s="254"/>
      <c r="J53" s="254"/>
      <c r="K53" s="254"/>
      <c r="L53" s="254"/>
      <c r="M53" s="254"/>
      <c r="N53" s="254"/>
      <c r="O53" s="254"/>
      <c r="P53" s="254"/>
      <c r="Q53" s="254"/>
      <c r="R53" s="254"/>
      <c r="S53" s="254"/>
      <c r="T53" s="318"/>
    </row>
    <row r="54" spans="1:28" x14ac:dyDescent="0.25">
      <c r="A54" s="254"/>
      <c r="B54" s="254"/>
      <c r="C54" s="254"/>
      <c r="D54" s="254"/>
      <c r="E54" s="254"/>
      <c r="F54" s="254"/>
      <c r="G54" s="254"/>
      <c r="H54" s="254"/>
      <c r="I54" s="254"/>
      <c r="J54" s="254"/>
      <c r="K54" s="254"/>
      <c r="L54" s="254"/>
      <c r="M54" s="254"/>
      <c r="N54" s="254"/>
      <c r="O54" s="254"/>
      <c r="P54" s="254"/>
      <c r="Q54" s="254"/>
      <c r="R54" s="254"/>
      <c r="S54" s="254"/>
      <c r="T54" s="254"/>
    </row>
    <row r="55" spans="1:28" x14ac:dyDescent="0.25">
      <c r="A55" s="254"/>
      <c r="B55" s="254"/>
      <c r="C55" s="254"/>
      <c r="D55" s="254"/>
      <c r="E55" s="254"/>
      <c r="F55" s="254"/>
      <c r="G55" s="254"/>
      <c r="H55" s="254"/>
      <c r="I55" s="254"/>
      <c r="J55" s="254"/>
      <c r="K55" s="254"/>
      <c r="L55" s="254"/>
      <c r="M55" s="254"/>
      <c r="N55" s="254"/>
      <c r="O55" s="254"/>
      <c r="P55" s="254"/>
      <c r="Q55" s="254"/>
      <c r="R55" s="254"/>
      <c r="S55" s="254"/>
      <c r="T55" s="254"/>
    </row>
    <row r="56" spans="1:28" x14ac:dyDescent="0.25">
      <c r="A56" s="254"/>
      <c r="B56" s="254"/>
      <c r="C56" s="254"/>
      <c r="D56" s="254"/>
      <c r="E56" s="254"/>
      <c r="F56" s="254"/>
      <c r="G56" s="254"/>
      <c r="H56" s="254"/>
      <c r="I56" s="254"/>
      <c r="J56" s="254"/>
      <c r="K56" s="254"/>
      <c r="L56" s="254"/>
      <c r="M56" s="254"/>
      <c r="N56" s="254"/>
      <c r="O56" s="254"/>
      <c r="P56" s="254"/>
      <c r="Q56" s="254"/>
      <c r="R56" s="254"/>
      <c r="S56" s="254"/>
      <c r="T56" s="254"/>
    </row>
    <row r="57" spans="1:28" x14ac:dyDescent="0.25">
      <c r="A57" s="254"/>
      <c r="B57" s="254"/>
      <c r="C57" s="254"/>
      <c r="D57" s="254"/>
      <c r="E57" s="254"/>
      <c r="F57" s="254"/>
      <c r="G57" s="254"/>
      <c r="H57" s="254"/>
      <c r="I57" s="254"/>
      <c r="J57" s="254"/>
      <c r="K57" s="254"/>
      <c r="L57" s="254"/>
      <c r="M57" s="254"/>
      <c r="N57" s="254"/>
      <c r="O57" s="254"/>
      <c r="P57" s="254"/>
      <c r="Q57" s="254"/>
      <c r="R57" s="254"/>
      <c r="S57" s="254"/>
      <c r="T57" s="254"/>
    </row>
    <row r="58" spans="1:28" x14ac:dyDescent="0.25">
      <c r="A58" s="254"/>
      <c r="B58" s="254"/>
      <c r="C58" s="254"/>
      <c r="D58" s="254"/>
      <c r="E58" s="254"/>
      <c r="F58" s="254"/>
      <c r="G58" s="254"/>
      <c r="H58" s="254"/>
      <c r="I58" s="254"/>
      <c r="J58" s="254"/>
      <c r="K58" s="254"/>
      <c r="L58" s="254"/>
      <c r="M58" s="254"/>
      <c r="N58" s="254"/>
      <c r="O58" s="254"/>
      <c r="P58" s="254"/>
      <c r="Q58" s="254"/>
      <c r="R58" s="254"/>
      <c r="S58" s="254"/>
      <c r="T58" s="254"/>
    </row>
    <row r="59" spans="1:28" x14ac:dyDescent="0.25">
      <c r="A59" s="254"/>
      <c r="B59" s="254"/>
      <c r="C59" s="254"/>
      <c r="D59" s="254"/>
      <c r="E59" s="254"/>
      <c r="F59" s="254"/>
      <c r="G59" s="254"/>
      <c r="H59" s="254"/>
      <c r="I59" s="254"/>
      <c r="J59" s="254"/>
      <c r="K59" s="254"/>
      <c r="L59" s="254"/>
      <c r="M59" s="254"/>
      <c r="N59" s="254"/>
      <c r="O59" s="254"/>
      <c r="P59" s="254"/>
      <c r="Q59" s="254"/>
      <c r="R59" s="254"/>
      <c r="S59" s="254"/>
      <c r="T59" s="254"/>
    </row>
    <row r="60" spans="1:28" x14ac:dyDescent="0.25">
      <c r="A60" s="254"/>
      <c r="B60" s="254"/>
      <c r="C60" s="254"/>
      <c r="D60" s="254"/>
      <c r="E60" s="254"/>
      <c r="F60" s="254"/>
      <c r="G60" s="254"/>
      <c r="H60" s="254"/>
      <c r="I60" s="254"/>
      <c r="J60" s="254"/>
      <c r="K60" s="254"/>
      <c r="L60" s="254"/>
      <c r="M60" s="254"/>
      <c r="N60" s="254"/>
      <c r="O60" s="254"/>
      <c r="P60" s="254"/>
      <c r="Q60" s="254"/>
      <c r="R60" s="254"/>
      <c r="S60" s="254"/>
      <c r="T60" s="254"/>
    </row>
    <row r="61" spans="1:28" x14ac:dyDescent="0.25">
      <c r="A61" s="254"/>
      <c r="B61" s="254"/>
      <c r="C61" s="254"/>
      <c r="D61" s="254"/>
      <c r="E61" s="254"/>
      <c r="F61" s="254"/>
      <c r="G61" s="254"/>
      <c r="H61" s="254"/>
      <c r="I61" s="254"/>
      <c r="J61" s="254"/>
      <c r="K61" s="254"/>
      <c r="L61" s="254"/>
      <c r="M61" s="254"/>
      <c r="N61" s="254"/>
      <c r="O61" s="254"/>
      <c r="P61" s="254"/>
      <c r="Q61" s="254"/>
      <c r="R61" s="254"/>
      <c r="S61" s="254"/>
      <c r="T61" s="254"/>
    </row>
    <row r="62" spans="1:28" x14ac:dyDescent="0.25">
      <c r="A62" s="254"/>
      <c r="B62" s="254"/>
      <c r="C62" s="254"/>
      <c r="D62" s="254"/>
      <c r="E62" s="254"/>
      <c r="F62" s="254"/>
      <c r="G62" s="254"/>
      <c r="H62" s="254"/>
      <c r="I62" s="254"/>
      <c r="J62" s="254"/>
      <c r="K62" s="254"/>
      <c r="L62" s="254"/>
      <c r="M62" s="254"/>
      <c r="N62" s="254"/>
      <c r="O62" s="254"/>
      <c r="P62" s="254"/>
      <c r="Q62" s="254"/>
      <c r="R62" s="254"/>
      <c r="S62" s="254"/>
      <c r="T62" s="254"/>
    </row>
    <row r="63" spans="1:28" x14ac:dyDescent="0.25">
      <c r="A63" s="254"/>
      <c r="B63" s="254"/>
      <c r="C63" s="254"/>
      <c r="D63" s="254"/>
      <c r="E63" s="254"/>
      <c r="F63" s="254"/>
      <c r="G63" s="254"/>
      <c r="H63" s="254"/>
      <c r="I63" s="254"/>
      <c r="J63" s="254"/>
      <c r="K63" s="254"/>
      <c r="L63" s="254"/>
      <c r="M63" s="254"/>
      <c r="N63" s="254"/>
      <c r="O63" s="254"/>
      <c r="P63" s="254"/>
      <c r="Q63" s="254"/>
      <c r="R63" s="254"/>
      <c r="S63" s="254"/>
      <c r="T63" s="254"/>
    </row>
    <row r="64" spans="1:28" x14ac:dyDescent="0.25">
      <c r="A64" s="254"/>
      <c r="B64" s="254"/>
      <c r="C64" s="254"/>
      <c r="D64" s="254"/>
      <c r="E64" s="254"/>
      <c r="F64" s="254"/>
      <c r="G64" s="254"/>
      <c r="H64" s="254"/>
      <c r="I64" s="254"/>
      <c r="J64" s="254"/>
      <c r="K64" s="254"/>
      <c r="L64" s="254"/>
      <c r="M64" s="254"/>
      <c r="N64" s="254"/>
      <c r="O64" s="254"/>
      <c r="P64" s="254"/>
      <c r="Q64" s="254"/>
      <c r="R64" s="254"/>
      <c r="S64" s="254"/>
      <c r="T64" s="254"/>
    </row>
    <row r="65" spans="1:20" x14ac:dyDescent="0.25">
      <c r="A65" s="254"/>
      <c r="B65" s="254"/>
      <c r="C65" s="254"/>
      <c r="D65" s="254"/>
      <c r="E65" s="254"/>
      <c r="F65" s="254"/>
      <c r="G65" s="254"/>
      <c r="H65" s="254"/>
      <c r="I65" s="254"/>
      <c r="J65" s="254"/>
      <c r="K65" s="254"/>
      <c r="L65" s="254"/>
      <c r="M65" s="254"/>
      <c r="N65" s="254"/>
      <c r="O65" s="254"/>
      <c r="P65" s="254"/>
      <c r="Q65" s="254"/>
      <c r="R65" s="254"/>
      <c r="S65" s="254"/>
      <c r="T65" s="254"/>
    </row>
    <row r="66" spans="1:20" x14ac:dyDescent="0.25">
      <c r="A66" s="254"/>
      <c r="B66" s="254"/>
      <c r="C66" s="254"/>
      <c r="D66" s="254"/>
      <c r="E66" s="254"/>
      <c r="F66" s="254"/>
      <c r="G66" s="254"/>
      <c r="H66" s="254"/>
      <c r="I66" s="254"/>
      <c r="J66" s="254"/>
      <c r="K66" s="254"/>
      <c r="L66" s="254"/>
      <c r="M66" s="254"/>
      <c r="N66" s="254"/>
      <c r="O66" s="254"/>
      <c r="P66" s="254"/>
      <c r="Q66" s="254"/>
      <c r="R66" s="254"/>
      <c r="S66" s="254"/>
      <c r="T66" s="254"/>
    </row>
    <row r="67" spans="1:20" x14ac:dyDescent="0.25">
      <c r="A67" s="254"/>
      <c r="B67" s="254"/>
      <c r="C67" s="254"/>
      <c r="D67" s="254"/>
      <c r="E67" s="254"/>
      <c r="F67" s="254"/>
      <c r="G67" s="254"/>
      <c r="H67" s="254"/>
      <c r="I67" s="254"/>
      <c r="J67" s="254"/>
      <c r="K67" s="254"/>
      <c r="L67" s="254"/>
      <c r="M67" s="254"/>
      <c r="N67" s="254"/>
      <c r="O67" s="254"/>
      <c r="P67" s="254"/>
      <c r="Q67" s="254"/>
      <c r="R67" s="254"/>
      <c r="S67" s="254"/>
      <c r="T67" s="254"/>
    </row>
    <row r="68" spans="1:20" x14ac:dyDescent="0.25">
      <c r="A68" s="254"/>
      <c r="B68" s="254"/>
      <c r="C68" s="254"/>
      <c r="D68" s="254"/>
      <c r="E68" s="254"/>
      <c r="F68" s="254"/>
      <c r="G68" s="254"/>
      <c r="H68" s="254"/>
      <c r="I68" s="254"/>
      <c r="J68" s="254"/>
      <c r="K68" s="254"/>
      <c r="L68" s="254"/>
      <c r="M68" s="254"/>
      <c r="N68" s="254"/>
      <c r="O68" s="254"/>
      <c r="P68" s="254"/>
      <c r="Q68" s="254"/>
      <c r="R68" s="254"/>
      <c r="S68" s="254"/>
      <c r="T68" s="254"/>
    </row>
    <row r="69" spans="1:20" x14ac:dyDescent="0.25">
      <c r="A69" s="254"/>
      <c r="B69" s="254"/>
      <c r="C69" s="254"/>
      <c r="D69" s="254"/>
      <c r="E69" s="254"/>
      <c r="F69" s="254"/>
      <c r="G69" s="254"/>
      <c r="H69" s="254"/>
      <c r="I69" s="254"/>
      <c r="J69" s="254"/>
      <c r="K69" s="254"/>
      <c r="L69" s="254"/>
      <c r="M69" s="254"/>
      <c r="N69" s="254"/>
      <c r="O69" s="254"/>
      <c r="P69" s="254"/>
      <c r="Q69" s="254"/>
      <c r="R69" s="254"/>
      <c r="S69" s="254"/>
      <c r="T69" s="254"/>
    </row>
    <row r="70" spans="1:20" x14ac:dyDescent="0.25">
      <c r="A70" s="254"/>
      <c r="B70" s="254"/>
      <c r="C70" s="254"/>
      <c r="D70" s="254"/>
      <c r="E70" s="254"/>
      <c r="F70" s="254"/>
      <c r="G70" s="254"/>
      <c r="H70" s="254"/>
      <c r="I70" s="254"/>
      <c r="J70" s="254"/>
      <c r="K70" s="254"/>
      <c r="L70" s="254"/>
      <c r="M70" s="254"/>
      <c r="N70" s="254"/>
      <c r="O70" s="254"/>
      <c r="P70" s="254"/>
      <c r="Q70" s="254"/>
      <c r="R70" s="254"/>
      <c r="S70" s="254"/>
      <c r="T70" s="254"/>
    </row>
    <row r="71" spans="1:20" x14ac:dyDescent="0.25">
      <c r="A71" s="254"/>
      <c r="B71" s="254"/>
      <c r="C71" s="254"/>
      <c r="D71" s="254"/>
      <c r="E71" s="254"/>
      <c r="F71" s="254"/>
      <c r="G71" s="254"/>
      <c r="H71" s="254"/>
      <c r="I71" s="254"/>
      <c r="J71" s="254"/>
      <c r="K71" s="254"/>
      <c r="L71" s="254"/>
      <c r="M71" s="254"/>
      <c r="N71" s="254"/>
      <c r="O71" s="254"/>
      <c r="P71" s="254"/>
      <c r="Q71" s="254"/>
      <c r="R71" s="254"/>
      <c r="S71" s="254"/>
      <c r="T71" s="254"/>
    </row>
    <row r="72" spans="1:20" x14ac:dyDescent="0.25">
      <c r="A72" s="254"/>
      <c r="B72" s="254"/>
      <c r="C72" s="254"/>
      <c r="D72" s="254"/>
      <c r="E72" s="254"/>
      <c r="F72" s="254"/>
      <c r="G72" s="254"/>
      <c r="H72" s="254"/>
      <c r="I72" s="254"/>
      <c r="J72" s="254"/>
      <c r="K72" s="254"/>
      <c r="L72" s="254"/>
      <c r="M72" s="254"/>
      <c r="N72" s="254"/>
      <c r="O72" s="254"/>
      <c r="P72" s="254"/>
      <c r="Q72" s="254"/>
      <c r="R72" s="254"/>
      <c r="S72" s="254"/>
      <c r="T72" s="254"/>
    </row>
    <row r="73" spans="1:20" x14ac:dyDescent="0.25">
      <c r="A73" s="254"/>
      <c r="B73" s="254"/>
      <c r="C73" s="254"/>
      <c r="D73" s="254"/>
      <c r="E73" s="254"/>
      <c r="F73" s="254"/>
      <c r="G73" s="254"/>
      <c r="H73" s="254"/>
      <c r="I73" s="254"/>
      <c r="J73" s="254"/>
      <c r="K73" s="254"/>
      <c r="L73" s="254"/>
      <c r="M73" s="254"/>
      <c r="N73" s="254"/>
      <c r="O73" s="254"/>
      <c r="P73" s="254"/>
      <c r="Q73" s="254"/>
      <c r="R73" s="254"/>
      <c r="S73" s="254"/>
      <c r="T73" s="254"/>
    </row>
    <row r="74" spans="1:20" x14ac:dyDescent="0.25">
      <c r="A74" s="254"/>
      <c r="B74" s="254"/>
      <c r="C74" s="254"/>
      <c r="D74" s="254"/>
      <c r="E74" s="254"/>
      <c r="F74" s="254"/>
      <c r="G74" s="254"/>
      <c r="H74" s="254"/>
      <c r="I74" s="254"/>
      <c r="J74" s="254"/>
      <c r="K74" s="254"/>
      <c r="L74" s="254"/>
      <c r="M74" s="254"/>
      <c r="N74" s="254"/>
      <c r="O74" s="254"/>
      <c r="P74" s="254"/>
      <c r="Q74" s="254"/>
      <c r="R74" s="254"/>
      <c r="S74" s="254"/>
      <c r="T74" s="254"/>
    </row>
    <row r="75" spans="1:20" x14ac:dyDescent="0.25">
      <c r="A75" s="254"/>
      <c r="B75" s="254"/>
      <c r="C75" s="254"/>
      <c r="D75" s="254"/>
      <c r="E75" s="254"/>
      <c r="F75" s="254"/>
      <c r="G75" s="254"/>
      <c r="H75" s="254"/>
      <c r="I75" s="254"/>
      <c r="J75" s="254"/>
      <c r="K75" s="254"/>
      <c r="L75" s="254"/>
      <c r="M75" s="254"/>
      <c r="N75" s="254"/>
      <c r="O75" s="254"/>
      <c r="P75" s="254"/>
      <c r="Q75" s="254"/>
      <c r="R75" s="254"/>
      <c r="S75" s="254"/>
      <c r="T75" s="254"/>
    </row>
    <row r="76" spans="1:20" x14ac:dyDescent="0.25">
      <c r="A76" s="254"/>
      <c r="B76" s="254"/>
      <c r="C76" s="254"/>
      <c r="D76" s="254"/>
      <c r="E76" s="254"/>
      <c r="F76" s="254"/>
      <c r="G76" s="254"/>
      <c r="H76" s="254"/>
      <c r="I76" s="254"/>
      <c r="J76" s="254"/>
      <c r="K76" s="254"/>
      <c r="L76" s="254"/>
      <c r="M76" s="254"/>
      <c r="N76" s="254"/>
      <c r="O76" s="254"/>
      <c r="P76" s="254"/>
      <c r="Q76" s="254"/>
      <c r="R76" s="254"/>
      <c r="S76" s="254"/>
      <c r="T76" s="254"/>
    </row>
    <row r="77" spans="1:20" x14ac:dyDescent="0.25">
      <c r="A77" s="254"/>
      <c r="B77" s="254"/>
      <c r="C77" s="254"/>
      <c r="D77" s="254"/>
      <c r="E77" s="254"/>
      <c r="F77" s="254"/>
      <c r="G77" s="254"/>
      <c r="H77" s="254"/>
      <c r="I77" s="254"/>
      <c r="J77" s="254"/>
      <c r="K77" s="254"/>
      <c r="L77" s="254"/>
      <c r="M77" s="254"/>
      <c r="N77" s="254"/>
      <c r="O77" s="254"/>
      <c r="P77" s="254"/>
      <c r="Q77" s="254"/>
      <c r="R77" s="254"/>
      <c r="S77" s="254"/>
      <c r="T77" s="254"/>
    </row>
    <row r="78" spans="1:20" x14ac:dyDescent="0.25">
      <c r="A78" s="254"/>
      <c r="B78" s="254"/>
      <c r="C78" s="254"/>
      <c r="D78" s="254"/>
      <c r="E78" s="254"/>
      <c r="F78" s="254"/>
      <c r="G78" s="254"/>
      <c r="H78" s="254"/>
      <c r="I78" s="254"/>
      <c r="J78" s="254"/>
      <c r="K78" s="254"/>
      <c r="L78" s="254"/>
      <c r="M78" s="254"/>
      <c r="N78" s="254"/>
      <c r="O78" s="254"/>
      <c r="P78" s="254"/>
      <c r="Q78" s="254"/>
      <c r="R78" s="254"/>
      <c r="S78" s="254"/>
      <c r="T78" s="254"/>
    </row>
    <row r="79" spans="1:20" x14ac:dyDescent="0.25">
      <c r="A79" s="254"/>
      <c r="B79" s="254"/>
      <c r="C79" s="254"/>
      <c r="D79" s="254"/>
      <c r="E79" s="254"/>
      <c r="F79" s="254"/>
      <c r="G79" s="254"/>
      <c r="H79" s="254"/>
      <c r="I79" s="254"/>
      <c r="J79" s="254"/>
      <c r="K79" s="254"/>
      <c r="L79" s="254"/>
      <c r="M79" s="254"/>
      <c r="N79" s="254"/>
      <c r="O79" s="254"/>
      <c r="P79" s="254"/>
      <c r="Q79" s="254"/>
      <c r="R79" s="254"/>
      <c r="S79" s="254"/>
      <c r="T79" s="254"/>
    </row>
    <row r="80" spans="1:20" x14ac:dyDescent="0.25">
      <c r="A80" s="254"/>
      <c r="B80" s="254"/>
      <c r="C80" s="254"/>
      <c r="D80" s="254"/>
      <c r="E80" s="254"/>
      <c r="F80" s="254"/>
      <c r="G80" s="254"/>
      <c r="H80" s="254"/>
      <c r="I80" s="254"/>
      <c r="J80" s="254"/>
      <c r="K80" s="254"/>
      <c r="L80" s="254"/>
      <c r="M80" s="254"/>
      <c r="N80" s="254"/>
      <c r="O80" s="254"/>
      <c r="P80" s="254"/>
      <c r="Q80" s="254"/>
      <c r="R80" s="254"/>
      <c r="S80" s="254"/>
      <c r="T80" s="254"/>
    </row>
    <row r="81" spans="1:20" x14ac:dyDescent="0.25">
      <c r="A81" s="254"/>
      <c r="B81" s="254"/>
      <c r="C81" s="254"/>
      <c r="D81" s="254"/>
      <c r="E81" s="254"/>
      <c r="F81" s="254"/>
      <c r="G81" s="254"/>
      <c r="H81" s="254"/>
      <c r="I81" s="254"/>
      <c r="J81" s="254"/>
      <c r="K81" s="254"/>
      <c r="L81" s="254"/>
      <c r="M81" s="254"/>
      <c r="N81" s="254"/>
      <c r="O81" s="254"/>
      <c r="P81" s="254"/>
      <c r="Q81" s="254"/>
      <c r="R81" s="254"/>
      <c r="S81" s="254"/>
      <c r="T81" s="254"/>
    </row>
    <row r="82" spans="1:20" x14ac:dyDescent="0.25">
      <c r="A82" s="254"/>
      <c r="B82" s="254"/>
      <c r="C82" s="254"/>
      <c r="D82" s="254"/>
      <c r="E82" s="254"/>
      <c r="F82" s="254"/>
      <c r="G82" s="254"/>
      <c r="H82" s="254"/>
      <c r="I82" s="254"/>
      <c r="J82" s="254"/>
      <c r="K82" s="254"/>
      <c r="L82" s="254"/>
      <c r="M82" s="254"/>
      <c r="N82" s="254"/>
      <c r="O82" s="254"/>
      <c r="P82" s="254"/>
      <c r="Q82" s="254"/>
      <c r="R82" s="254"/>
      <c r="S82" s="254"/>
      <c r="T82" s="254"/>
    </row>
    <row r="83" spans="1:20" x14ac:dyDescent="0.25">
      <c r="A83" s="254"/>
      <c r="B83" s="254"/>
      <c r="C83" s="254"/>
      <c r="D83" s="254"/>
      <c r="E83" s="254"/>
      <c r="F83" s="254"/>
      <c r="G83" s="254"/>
      <c r="H83" s="254"/>
      <c r="I83" s="254"/>
      <c r="J83" s="254"/>
      <c r="K83" s="254"/>
      <c r="L83" s="254"/>
      <c r="M83" s="254"/>
      <c r="N83" s="254"/>
      <c r="O83" s="254"/>
      <c r="P83" s="254"/>
      <c r="Q83" s="254"/>
      <c r="R83" s="254"/>
      <c r="S83" s="254"/>
      <c r="T83" s="254"/>
    </row>
    <row r="84" spans="1:20" x14ac:dyDescent="0.25">
      <c r="A84" s="254"/>
      <c r="B84" s="254"/>
      <c r="C84" s="254"/>
      <c r="D84" s="254"/>
      <c r="E84" s="254"/>
      <c r="F84" s="254"/>
      <c r="G84" s="254"/>
      <c r="H84" s="254"/>
      <c r="I84" s="254"/>
      <c r="J84" s="254"/>
      <c r="K84" s="254"/>
      <c r="L84" s="254"/>
      <c r="M84" s="254"/>
      <c r="N84" s="254"/>
      <c r="O84" s="254"/>
      <c r="P84" s="254"/>
      <c r="Q84" s="254"/>
      <c r="R84" s="254"/>
      <c r="S84" s="254"/>
      <c r="T84" s="254"/>
    </row>
    <row r="85" spans="1:20" x14ac:dyDescent="0.25">
      <c r="A85" s="254"/>
      <c r="B85" s="254"/>
      <c r="C85" s="254"/>
      <c r="D85" s="254"/>
      <c r="E85" s="254"/>
      <c r="F85" s="254"/>
      <c r="G85" s="254"/>
      <c r="H85" s="254"/>
      <c r="I85" s="254"/>
      <c r="J85" s="254"/>
      <c r="K85" s="254"/>
      <c r="L85" s="254"/>
      <c r="M85" s="254"/>
      <c r="N85" s="254"/>
      <c r="O85" s="254"/>
      <c r="P85" s="254"/>
      <c r="Q85" s="254"/>
      <c r="R85" s="254"/>
      <c r="S85" s="254"/>
      <c r="T85" s="254"/>
    </row>
    <row r="86" spans="1:20" x14ac:dyDescent="0.25">
      <c r="A86" s="254"/>
      <c r="B86" s="254"/>
      <c r="C86" s="254"/>
      <c r="D86" s="254"/>
      <c r="E86" s="254"/>
      <c r="F86" s="254"/>
      <c r="G86" s="254"/>
      <c r="H86" s="254"/>
      <c r="I86" s="254"/>
      <c r="J86" s="254"/>
      <c r="K86" s="254"/>
      <c r="L86" s="254"/>
      <c r="M86" s="254"/>
      <c r="N86" s="254"/>
      <c r="O86" s="254"/>
      <c r="P86" s="254"/>
      <c r="Q86" s="254"/>
      <c r="R86" s="254"/>
      <c r="S86" s="254"/>
      <c r="T86" s="254"/>
    </row>
    <row r="87" spans="1:20" x14ac:dyDescent="0.25">
      <c r="A87" s="254"/>
      <c r="B87" s="254"/>
      <c r="C87" s="254"/>
      <c r="D87" s="254"/>
      <c r="E87" s="254"/>
      <c r="F87" s="254"/>
      <c r="G87" s="254"/>
      <c r="H87" s="254"/>
      <c r="I87" s="254"/>
      <c r="J87" s="254"/>
      <c r="K87" s="254"/>
      <c r="L87" s="254"/>
      <c r="M87" s="254"/>
      <c r="N87" s="254"/>
      <c r="O87" s="254"/>
      <c r="P87" s="254"/>
      <c r="Q87" s="254"/>
      <c r="R87" s="254"/>
      <c r="S87" s="254"/>
      <c r="T87" s="254"/>
    </row>
    <row r="88" spans="1:20" x14ac:dyDescent="0.25">
      <c r="A88" s="254"/>
      <c r="B88" s="254"/>
      <c r="C88" s="254"/>
      <c r="D88" s="254"/>
      <c r="E88" s="254"/>
      <c r="F88" s="254"/>
      <c r="G88" s="254"/>
      <c r="H88" s="254"/>
      <c r="I88" s="254"/>
      <c r="J88" s="254"/>
      <c r="K88" s="254"/>
      <c r="L88" s="254"/>
      <c r="M88" s="254"/>
      <c r="N88" s="254"/>
      <c r="O88" s="254"/>
      <c r="P88" s="254"/>
      <c r="Q88" s="254"/>
      <c r="R88" s="254"/>
      <c r="S88" s="254"/>
      <c r="T88" s="254"/>
    </row>
    <row r="89" spans="1:20" x14ac:dyDescent="0.25">
      <c r="A89" s="254"/>
      <c r="B89" s="254"/>
      <c r="C89" s="254"/>
      <c r="D89" s="254"/>
      <c r="E89" s="254"/>
      <c r="F89" s="254"/>
      <c r="G89" s="254"/>
      <c r="H89" s="254"/>
      <c r="I89" s="254"/>
      <c r="J89" s="254"/>
      <c r="K89" s="254"/>
      <c r="L89" s="254"/>
      <c r="M89" s="254"/>
      <c r="N89" s="254"/>
      <c r="O89" s="254"/>
      <c r="P89" s="254"/>
      <c r="Q89" s="254"/>
      <c r="R89" s="254"/>
      <c r="S89" s="254"/>
      <c r="T89" s="254"/>
    </row>
  </sheetData>
  <mergeCells count="4">
    <mergeCell ref="A30:A31"/>
    <mergeCell ref="B30:B31"/>
    <mergeCell ref="R30:R31"/>
    <mergeCell ref="A32:A41"/>
  </mergeCells>
  <dataValidations disablePrompts="1" count="1">
    <dataValidation type="list" allowBlank="1" showInputMessage="1" showErrorMessage="1" sqref="C12 E12 G12 I12 K12 M12 O12 Q12 S12">
      <formula1>$R$2:$R$3</formula1>
    </dataValidation>
  </dataValidation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theme="9" tint="-0.249977111117893"/>
  </sheetPr>
  <dimension ref="A1:AH245"/>
  <sheetViews>
    <sheetView showGridLines="0" topLeftCell="A3" zoomScaleNormal="100" workbookViewId="0">
      <selection activeCell="T6" sqref="T6"/>
    </sheetView>
  </sheetViews>
  <sheetFormatPr defaultColWidth="8.83203125" defaultRowHeight="14.25" x14ac:dyDescent="0.2"/>
  <cols>
    <col min="1" max="1" width="29.1640625" style="253" bestFit="1" customWidth="1"/>
    <col min="2" max="2" width="13.33203125" style="253" customWidth="1"/>
    <col min="3" max="3" width="14" style="253" customWidth="1"/>
    <col min="4" max="7" width="8.83203125" style="253"/>
    <col min="8" max="8" width="10.33203125" style="253" customWidth="1"/>
    <col min="9" max="16384" width="8.83203125" style="253"/>
  </cols>
  <sheetData>
    <row r="1" spans="1:34" x14ac:dyDescent="0.2">
      <c r="A1" s="249">
        <v>1</v>
      </c>
      <c r="B1" s="250"/>
      <c r="C1" s="251"/>
      <c r="D1" s="251"/>
      <c r="E1" s="251"/>
      <c r="F1" s="251"/>
      <c r="G1" s="251"/>
      <c r="H1" s="250"/>
      <c r="I1" s="252"/>
      <c r="J1" s="252"/>
      <c r="K1" s="252"/>
      <c r="L1" s="252"/>
      <c r="M1" s="252"/>
      <c r="N1" s="252"/>
      <c r="O1" s="252"/>
      <c r="P1" s="252"/>
      <c r="Q1" s="252"/>
      <c r="R1" s="252"/>
      <c r="S1" s="252"/>
      <c r="T1" s="252"/>
      <c r="U1" s="252"/>
      <c r="V1" s="252"/>
      <c r="W1" s="252"/>
      <c r="X1" s="252"/>
      <c r="Y1" s="252"/>
      <c r="Z1" s="252"/>
      <c r="AA1" s="252"/>
      <c r="AB1" s="252"/>
      <c r="AC1" s="252"/>
      <c r="AD1" s="252"/>
      <c r="AE1" s="252"/>
      <c r="AF1" s="252"/>
      <c r="AG1" s="252"/>
      <c r="AH1" s="252"/>
    </row>
    <row r="2" spans="1:34" x14ac:dyDescent="0.2">
      <c r="A2" s="249">
        <v>1</v>
      </c>
      <c r="B2" s="250"/>
      <c r="C2" s="251"/>
      <c r="D2" s="250"/>
      <c r="E2" s="250"/>
      <c r="F2" s="250"/>
      <c r="G2" s="250"/>
      <c r="H2" s="250"/>
      <c r="I2" s="252"/>
      <c r="J2" s="252"/>
      <c r="K2" s="252"/>
      <c r="L2" s="252"/>
      <c r="M2" s="252"/>
      <c r="N2" s="252"/>
      <c r="O2" s="252"/>
      <c r="P2" s="252"/>
      <c r="Q2" s="252"/>
      <c r="R2" s="252"/>
      <c r="S2" s="252"/>
      <c r="T2" s="252"/>
      <c r="U2" s="252"/>
      <c r="V2" s="252"/>
      <c r="W2" s="252"/>
      <c r="X2" s="252"/>
      <c r="Y2" s="252"/>
      <c r="Z2" s="252"/>
      <c r="AA2" s="252"/>
      <c r="AB2" s="252"/>
      <c r="AC2" s="252"/>
      <c r="AD2" s="252"/>
      <c r="AE2" s="252"/>
      <c r="AF2" s="252"/>
      <c r="AG2" s="252"/>
      <c r="AH2" s="252"/>
    </row>
    <row r="3" spans="1:34" x14ac:dyDescent="0.2">
      <c r="A3" s="249">
        <v>1</v>
      </c>
      <c r="B3" s="250"/>
      <c r="C3" s="251"/>
      <c r="D3" s="250"/>
      <c r="E3" s="250"/>
      <c r="F3" s="250"/>
      <c r="G3" s="250"/>
      <c r="H3" s="250"/>
      <c r="I3" s="252"/>
      <c r="J3" s="252"/>
      <c r="K3" s="252"/>
      <c r="L3" s="252"/>
      <c r="M3" s="252"/>
      <c r="N3" s="252"/>
      <c r="O3" s="252"/>
      <c r="P3" s="252"/>
      <c r="Q3" s="252"/>
      <c r="R3" s="252"/>
      <c r="S3" s="252"/>
      <c r="T3" s="252"/>
      <c r="U3" s="252"/>
      <c r="V3" s="252"/>
      <c r="W3" s="252"/>
      <c r="X3" s="252"/>
      <c r="Y3" s="252"/>
      <c r="Z3" s="252"/>
      <c r="AA3" s="252"/>
      <c r="AB3" s="252"/>
      <c r="AC3" s="252"/>
      <c r="AD3" s="252"/>
      <c r="AE3" s="252"/>
      <c r="AF3" s="252"/>
      <c r="AG3" s="252"/>
      <c r="AH3" s="252"/>
    </row>
    <row r="4" spans="1:34" x14ac:dyDescent="0.2">
      <c r="A4" s="250"/>
      <c r="B4" s="250"/>
      <c r="C4" s="250"/>
      <c r="D4" s="250"/>
      <c r="E4" s="250"/>
      <c r="F4" s="250"/>
      <c r="G4" s="250"/>
      <c r="H4" s="250"/>
      <c r="I4" s="252"/>
      <c r="J4" s="252"/>
      <c r="K4" s="252"/>
      <c r="L4" s="252"/>
      <c r="M4" s="252"/>
      <c r="N4" s="252"/>
      <c r="O4" s="252"/>
      <c r="P4" s="252"/>
      <c r="Q4" s="252"/>
      <c r="R4" s="252"/>
      <c r="S4" s="252"/>
      <c r="T4" s="252"/>
      <c r="U4" s="252"/>
      <c r="V4" s="252"/>
      <c r="W4" s="252"/>
      <c r="X4" s="252"/>
      <c r="Y4" s="252"/>
      <c r="Z4" s="252"/>
      <c r="AA4" s="252"/>
      <c r="AB4" s="252"/>
      <c r="AC4" s="252"/>
      <c r="AD4" s="252"/>
      <c r="AE4" s="252"/>
      <c r="AF4" s="252"/>
      <c r="AG4" s="252"/>
      <c r="AH4" s="252"/>
    </row>
    <row r="5" spans="1:34" x14ac:dyDescent="0.2">
      <c r="A5" s="250"/>
      <c r="B5" s="250"/>
      <c r="C5" s="250"/>
      <c r="D5" s="250"/>
      <c r="E5" s="250"/>
      <c r="F5" s="250"/>
      <c r="G5" s="250"/>
      <c r="H5" s="250"/>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row>
    <row r="6" spans="1:34" x14ac:dyDescent="0.2">
      <c r="A6" s="250"/>
      <c r="B6" s="250"/>
      <c r="C6" s="250"/>
      <c r="D6" s="250"/>
      <c r="E6" s="250"/>
      <c r="F6" s="250"/>
      <c r="G6" s="250"/>
      <c r="H6" s="250"/>
      <c r="I6" s="252"/>
      <c r="J6" s="252"/>
      <c r="K6" s="252"/>
      <c r="L6" s="252"/>
      <c r="M6" s="252"/>
      <c r="N6" s="252"/>
      <c r="O6" s="252"/>
      <c r="P6" s="252"/>
      <c r="Q6" s="252"/>
      <c r="R6" s="252"/>
      <c r="S6" s="252"/>
      <c r="T6" s="252"/>
      <c r="U6" s="252"/>
      <c r="V6" s="252"/>
      <c r="W6" s="252"/>
      <c r="X6" s="252"/>
      <c r="Y6" s="252"/>
      <c r="Z6" s="252"/>
      <c r="AA6" s="252"/>
      <c r="AB6" s="252"/>
      <c r="AC6" s="252"/>
      <c r="AD6" s="252"/>
      <c r="AE6" s="252"/>
      <c r="AF6" s="252"/>
      <c r="AG6" s="252"/>
      <c r="AH6" s="252"/>
    </row>
    <row r="7" spans="1:34" x14ac:dyDescent="0.2">
      <c r="A7" s="250"/>
      <c r="B7" s="250"/>
      <c r="C7" s="250"/>
      <c r="D7" s="250"/>
      <c r="E7" s="250"/>
      <c r="F7" s="250"/>
      <c r="G7" s="250"/>
      <c r="H7" s="250"/>
      <c r="I7" s="252"/>
      <c r="J7" s="252"/>
      <c r="K7" s="252"/>
      <c r="L7" s="252"/>
      <c r="M7" s="252"/>
      <c r="N7" s="252"/>
      <c r="O7" s="252"/>
      <c r="P7" s="252"/>
      <c r="Q7" s="252"/>
      <c r="R7" s="252"/>
      <c r="S7" s="252"/>
      <c r="T7" s="252"/>
      <c r="U7" s="252"/>
      <c r="V7" s="252"/>
      <c r="W7" s="252"/>
      <c r="X7" s="252"/>
      <c r="Y7" s="252"/>
      <c r="Z7" s="252"/>
      <c r="AA7" s="252"/>
      <c r="AB7" s="252"/>
      <c r="AC7" s="252"/>
      <c r="AD7" s="252"/>
      <c r="AE7" s="252"/>
      <c r="AF7" s="252"/>
      <c r="AG7" s="252"/>
      <c r="AH7" s="252"/>
    </row>
    <row r="8" spans="1:34" x14ac:dyDescent="0.2">
      <c r="A8" s="250"/>
      <c r="B8" s="250"/>
      <c r="C8" s="250"/>
      <c r="D8" s="250"/>
      <c r="E8" s="250"/>
      <c r="F8" s="250"/>
      <c r="G8" s="250"/>
      <c r="H8" s="250"/>
      <c r="I8" s="252"/>
      <c r="J8" s="252"/>
      <c r="K8" s="252"/>
      <c r="L8" s="252"/>
      <c r="M8" s="252"/>
      <c r="N8" s="252"/>
      <c r="O8" s="252"/>
      <c r="P8" s="252"/>
      <c r="Q8" s="252"/>
      <c r="R8" s="252"/>
      <c r="S8" s="252"/>
      <c r="T8" s="252"/>
      <c r="U8" s="252"/>
      <c r="V8" s="252"/>
      <c r="W8" s="252"/>
      <c r="X8" s="252"/>
      <c r="Y8" s="252"/>
      <c r="Z8" s="252"/>
      <c r="AA8" s="252"/>
      <c r="AB8" s="252"/>
      <c r="AC8" s="252"/>
      <c r="AD8" s="252"/>
      <c r="AE8" s="252"/>
      <c r="AF8" s="252"/>
      <c r="AG8" s="252"/>
      <c r="AH8" s="252"/>
    </row>
    <row r="9" spans="1:34" x14ac:dyDescent="0.2">
      <c r="A9" s="250"/>
      <c r="B9" s="250"/>
      <c r="C9" s="250"/>
      <c r="D9" s="250"/>
      <c r="E9" s="250"/>
      <c r="F9" s="250"/>
      <c r="G9" s="250"/>
      <c r="H9" s="250"/>
      <c r="I9" s="252"/>
      <c r="J9" s="252"/>
      <c r="K9" s="252"/>
      <c r="L9" s="252"/>
      <c r="M9" s="252"/>
      <c r="N9" s="252"/>
      <c r="O9" s="252"/>
      <c r="P9" s="252"/>
      <c r="Q9" s="252"/>
      <c r="R9" s="252"/>
      <c r="S9" s="252"/>
      <c r="T9" s="252"/>
      <c r="U9" s="252"/>
      <c r="V9" s="252"/>
      <c r="W9" s="252"/>
      <c r="X9" s="252"/>
      <c r="Y9" s="252"/>
      <c r="Z9" s="252"/>
      <c r="AA9" s="252"/>
      <c r="AB9" s="252"/>
      <c r="AC9" s="252"/>
      <c r="AD9" s="252"/>
      <c r="AE9" s="252"/>
      <c r="AF9" s="252"/>
      <c r="AG9" s="252"/>
      <c r="AH9" s="252"/>
    </row>
    <row r="10" spans="1:34" x14ac:dyDescent="0.2">
      <c r="A10" s="250"/>
      <c r="B10" s="250"/>
      <c r="C10" s="250"/>
      <c r="D10" s="250"/>
      <c r="E10" s="250"/>
      <c r="F10" s="250"/>
      <c r="G10" s="250"/>
      <c r="H10" s="250"/>
      <c r="I10" s="252"/>
      <c r="J10" s="252"/>
      <c r="K10" s="252"/>
      <c r="L10" s="252"/>
      <c r="M10" s="252"/>
      <c r="N10" s="252"/>
      <c r="O10" s="252"/>
      <c r="P10" s="252"/>
      <c r="Q10" s="252"/>
      <c r="R10" s="252"/>
      <c r="S10" s="252"/>
      <c r="T10" s="252"/>
      <c r="U10" s="252"/>
      <c r="V10" s="252"/>
      <c r="W10" s="252"/>
      <c r="X10" s="252"/>
      <c r="Y10" s="252"/>
      <c r="Z10" s="252"/>
      <c r="AA10" s="252"/>
      <c r="AB10" s="252"/>
      <c r="AC10" s="252"/>
      <c r="AD10" s="252"/>
      <c r="AE10" s="252"/>
      <c r="AF10" s="252"/>
      <c r="AG10" s="252"/>
      <c r="AH10" s="252"/>
    </row>
    <row r="11" spans="1:34" x14ac:dyDescent="0.2">
      <c r="A11" s="250"/>
      <c r="B11" s="250"/>
      <c r="C11" s="250"/>
      <c r="D11" s="250"/>
      <c r="E11" s="250"/>
      <c r="F11" s="250"/>
      <c r="G11" s="250"/>
      <c r="H11" s="250"/>
      <c r="I11" s="252"/>
      <c r="J11" s="252"/>
      <c r="K11" s="252"/>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row>
    <row r="12" spans="1:34" x14ac:dyDescent="0.2">
      <c r="A12" s="250"/>
      <c r="B12" s="250"/>
      <c r="C12" s="250"/>
      <c r="D12" s="250"/>
      <c r="E12" s="250"/>
      <c r="F12" s="250"/>
      <c r="G12" s="250"/>
      <c r="H12" s="250"/>
      <c r="I12" s="252"/>
      <c r="J12" s="252"/>
      <c r="K12" s="252"/>
      <c r="L12" s="252"/>
      <c r="M12" s="252"/>
      <c r="N12" s="252"/>
      <c r="O12" s="252"/>
      <c r="P12" s="252"/>
      <c r="Q12" s="252"/>
      <c r="R12" s="252"/>
      <c r="S12" s="252"/>
      <c r="T12" s="252"/>
      <c r="U12" s="252"/>
      <c r="V12" s="252"/>
      <c r="W12" s="252"/>
      <c r="X12" s="252"/>
      <c r="Y12" s="252"/>
      <c r="Z12" s="252"/>
      <c r="AA12" s="252"/>
      <c r="AB12" s="252"/>
      <c r="AC12" s="252"/>
      <c r="AD12" s="252"/>
      <c r="AE12" s="252"/>
      <c r="AF12" s="252"/>
      <c r="AG12" s="252"/>
      <c r="AH12" s="252"/>
    </row>
    <row r="13" spans="1:34" x14ac:dyDescent="0.2">
      <c r="A13" s="250"/>
      <c r="B13" s="250"/>
      <c r="C13" s="250"/>
      <c r="D13" s="250"/>
      <c r="E13" s="250"/>
      <c r="F13" s="250"/>
      <c r="G13" s="250"/>
      <c r="H13" s="250"/>
      <c r="I13" s="252"/>
      <c r="J13" s="252"/>
      <c r="K13" s="252"/>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row>
    <row r="14" spans="1:34" x14ac:dyDescent="0.2">
      <c r="A14" s="250"/>
      <c r="B14" s="250"/>
      <c r="C14" s="250"/>
      <c r="D14" s="250"/>
      <c r="E14" s="250"/>
      <c r="F14" s="250"/>
      <c r="G14" s="250"/>
      <c r="H14" s="250"/>
      <c r="I14" s="252"/>
      <c r="J14" s="252"/>
      <c r="K14" s="252"/>
      <c r="L14" s="252"/>
      <c r="M14" s="252"/>
      <c r="N14" s="252"/>
      <c r="O14" s="252"/>
      <c r="P14" s="252"/>
      <c r="Q14" s="252"/>
      <c r="R14" s="252"/>
      <c r="S14" s="252"/>
      <c r="T14" s="252"/>
      <c r="U14" s="252"/>
      <c r="V14" s="252"/>
      <c r="W14" s="252"/>
      <c r="X14" s="252"/>
      <c r="Y14" s="252"/>
      <c r="Z14" s="252"/>
      <c r="AA14" s="252"/>
      <c r="AB14" s="252"/>
      <c r="AC14" s="252"/>
      <c r="AD14" s="252"/>
      <c r="AE14" s="252"/>
      <c r="AF14" s="252"/>
      <c r="AG14" s="252"/>
      <c r="AH14" s="252"/>
    </row>
    <row r="15" spans="1:34" x14ac:dyDescent="0.2">
      <c r="A15" s="250"/>
      <c r="B15" s="250"/>
      <c r="C15" s="250"/>
      <c r="D15" s="250"/>
      <c r="E15" s="250"/>
      <c r="F15" s="250"/>
      <c r="G15" s="250"/>
      <c r="H15" s="250"/>
      <c r="I15" s="252"/>
      <c r="J15" s="252"/>
      <c r="K15" s="252"/>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row>
    <row r="16" spans="1:34" x14ac:dyDescent="0.2">
      <c r="A16" s="250"/>
      <c r="B16" s="250"/>
      <c r="C16" s="250"/>
      <c r="D16" s="250"/>
      <c r="E16" s="250"/>
      <c r="F16" s="250"/>
      <c r="G16" s="250"/>
      <c r="H16" s="250"/>
      <c r="I16" s="252"/>
      <c r="J16" s="252"/>
      <c r="K16" s="252"/>
      <c r="L16" s="252"/>
      <c r="M16" s="252"/>
      <c r="N16" s="252"/>
      <c r="O16" s="252"/>
      <c r="P16" s="252"/>
      <c r="Q16" s="252"/>
      <c r="R16" s="252"/>
      <c r="S16" s="252"/>
      <c r="T16" s="252"/>
      <c r="U16" s="252"/>
      <c r="V16" s="252"/>
      <c r="W16" s="252"/>
      <c r="X16" s="252"/>
      <c r="Y16" s="252"/>
      <c r="Z16" s="252"/>
      <c r="AA16" s="252"/>
      <c r="AB16" s="252"/>
      <c r="AC16" s="252"/>
      <c r="AD16" s="252"/>
      <c r="AE16" s="252"/>
      <c r="AF16" s="252"/>
      <c r="AG16" s="252"/>
      <c r="AH16" s="252"/>
    </row>
    <row r="17" spans="1:34" x14ac:dyDescent="0.2">
      <c r="A17" s="250"/>
      <c r="B17" s="250"/>
      <c r="C17" s="250"/>
      <c r="D17" s="250"/>
      <c r="E17" s="250"/>
      <c r="F17" s="250"/>
      <c r="G17" s="250"/>
      <c r="H17" s="250"/>
      <c r="I17" s="252"/>
      <c r="J17" s="252"/>
      <c r="K17" s="252"/>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row>
    <row r="18" spans="1:34" x14ac:dyDescent="0.2">
      <c r="A18" s="250"/>
      <c r="B18" s="250"/>
      <c r="C18" s="250"/>
      <c r="D18" s="250"/>
      <c r="E18" s="250"/>
      <c r="F18" s="250"/>
      <c r="G18" s="250"/>
      <c r="H18" s="250"/>
      <c r="I18" s="252"/>
      <c r="J18" s="252"/>
      <c r="K18" s="252"/>
      <c r="L18" s="252"/>
      <c r="M18" s="252"/>
      <c r="N18" s="252"/>
      <c r="O18" s="252"/>
      <c r="P18" s="252"/>
      <c r="Q18" s="252"/>
      <c r="R18" s="252"/>
      <c r="S18" s="252"/>
      <c r="T18" s="252"/>
      <c r="U18" s="252"/>
      <c r="V18" s="252"/>
      <c r="W18" s="252"/>
      <c r="X18" s="252"/>
      <c r="Y18" s="252"/>
      <c r="Z18" s="252"/>
      <c r="AA18" s="252"/>
      <c r="AB18" s="252"/>
      <c r="AC18" s="252"/>
      <c r="AD18" s="252"/>
      <c r="AE18" s="252"/>
      <c r="AF18" s="252"/>
      <c r="AG18" s="252"/>
      <c r="AH18" s="252"/>
    </row>
    <row r="19" spans="1:34" x14ac:dyDescent="0.2">
      <c r="A19" s="250"/>
      <c r="B19" s="250"/>
      <c r="C19" s="250"/>
      <c r="D19" s="250"/>
      <c r="E19" s="250"/>
      <c r="F19" s="250"/>
      <c r="G19" s="250"/>
      <c r="H19" s="250"/>
      <c r="I19" s="252"/>
      <c r="J19" s="252"/>
      <c r="K19" s="252"/>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row>
    <row r="20" spans="1:34" x14ac:dyDescent="0.2">
      <c r="A20" s="250"/>
      <c r="B20" s="250"/>
      <c r="C20" s="250"/>
      <c r="D20" s="250"/>
      <c r="E20" s="250"/>
      <c r="F20" s="250"/>
      <c r="G20" s="250"/>
      <c r="H20" s="250"/>
      <c r="I20" s="252"/>
      <c r="J20" s="252"/>
      <c r="K20" s="252"/>
      <c r="L20" s="252"/>
      <c r="M20" s="252"/>
      <c r="N20" s="252"/>
      <c r="O20" s="252"/>
      <c r="P20" s="252"/>
      <c r="Q20" s="252"/>
      <c r="R20" s="252"/>
      <c r="S20" s="252"/>
      <c r="T20" s="252"/>
      <c r="U20" s="252"/>
      <c r="V20" s="252"/>
      <c r="W20" s="252"/>
      <c r="X20" s="252"/>
      <c r="Y20" s="252"/>
      <c r="Z20" s="252"/>
      <c r="AA20" s="252"/>
      <c r="AB20" s="252"/>
      <c r="AC20" s="252"/>
      <c r="AD20" s="252"/>
      <c r="AE20" s="252"/>
      <c r="AF20" s="252"/>
      <c r="AG20" s="252"/>
      <c r="AH20" s="252"/>
    </row>
    <row r="21" spans="1:34" x14ac:dyDescent="0.2">
      <c r="A21" s="250"/>
      <c r="B21" s="250"/>
      <c r="C21" s="250"/>
      <c r="D21" s="250"/>
      <c r="E21" s="250"/>
      <c r="F21" s="250"/>
      <c r="G21" s="250"/>
      <c r="H21" s="250"/>
      <c r="I21" s="252"/>
      <c r="J21" s="252"/>
      <c r="K21" s="252"/>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row>
    <row r="22" spans="1:34" x14ac:dyDescent="0.2">
      <c r="A22" s="250"/>
      <c r="B22" s="250"/>
      <c r="C22" s="250"/>
      <c r="D22" s="250"/>
      <c r="E22" s="250"/>
      <c r="F22" s="250"/>
      <c r="G22" s="250"/>
      <c r="H22" s="250"/>
      <c r="I22" s="252"/>
      <c r="J22" s="252"/>
      <c r="K22" s="252"/>
      <c r="L22" s="252"/>
      <c r="M22" s="252"/>
      <c r="N22" s="252"/>
      <c r="O22" s="252"/>
      <c r="P22" s="252"/>
      <c r="Q22" s="252"/>
      <c r="R22" s="252"/>
      <c r="S22" s="252"/>
      <c r="T22" s="252"/>
      <c r="U22" s="252"/>
      <c r="V22" s="252"/>
      <c r="W22" s="252"/>
      <c r="X22" s="252"/>
      <c r="Y22" s="252"/>
      <c r="Z22" s="252"/>
      <c r="AA22" s="252"/>
      <c r="AB22" s="252"/>
      <c r="AC22" s="252"/>
      <c r="AD22" s="252"/>
      <c r="AE22" s="252"/>
      <c r="AF22" s="252"/>
      <c r="AG22" s="252"/>
      <c r="AH22" s="252"/>
    </row>
    <row r="23" spans="1:34" x14ac:dyDescent="0.2">
      <c r="A23" s="250"/>
      <c r="B23" s="250"/>
      <c r="C23" s="250"/>
      <c r="D23" s="250"/>
      <c r="E23" s="250"/>
      <c r="F23" s="250"/>
      <c r="G23" s="250"/>
      <c r="H23" s="250"/>
      <c r="I23" s="252"/>
      <c r="J23" s="252"/>
      <c r="K23" s="252"/>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row>
    <row r="24" spans="1:34" x14ac:dyDescent="0.2">
      <c r="A24" s="250"/>
      <c r="B24" s="250"/>
      <c r="C24" s="250"/>
      <c r="D24" s="250"/>
      <c r="E24" s="250"/>
      <c r="F24" s="250"/>
      <c r="G24" s="250"/>
      <c r="H24" s="250"/>
      <c r="I24" s="252"/>
      <c r="J24" s="252"/>
      <c r="K24" s="252"/>
      <c r="L24" s="252"/>
      <c r="M24" s="252"/>
      <c r="N24" s="252"/>
      <c r="O24" s="252"/>
      <c r="P24" s="252"/>
      <c r="Q24" s="252"/>
      <c r="R24" s="252"/>
      <c r="S24" s="252"/>
      <c r="T24" s="252"/>
      <c r="U24" s="252"/>
      <c r="V24" s="252"/>
      <c r="W24" s="252"/>
      <c r="X24" s="252"/>
      <c r="Y24" s="252"/>
      <c r="Z24" s="252"/>
      <c r="AA24" s="252"/>
      <c r="AB24" s="252"/>
      <c r="AC24" s="252"/>
      <c r="AD24" s="252"/>
      <c r="AE24" s="252"/>
      <c r="AF24" s="252"/>
      <c r="AG24" s="252"/>
      <c r="AH24" s="252"/>
    </row>
    <row r="25" spans="1:34" x14ac:dyDescent="0.2">
      <c r="A25" s="250"/>
      <c r="B25" s="250"/>
      <c r="C25" s="250"/>
      <c r="D25" s="250"/>
      <c r="E25" s="250"/>
      <c r="F25" s="250"/>
      <c r="G25" s="250"/>
      <c r="H25" s="250"/>
      <c r="I25" s="252"/>
      <c r="J25" s="252"/>
      <c r="K25" s="252"/>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row>
    <row r="26" spans="1:34" x14ac:dyDescent="0.2">
      <c r="A26" s="250"/>
      <c r="B26" s="250"/>
      <c r="C26" s="250"/>
      <c r="D26" s="250"/>
      <c r="E26" s="250"/>
      <c r="F26" s="250"/>
      <c r="G26" s="250"/>
      <c r="H26" s="250"/>
      <c r="I26" s="252"/>
      <c r="J26" s="252"/>
      <c r="K26" s="252"/>
      <c r="L26" s="252"/>
      <c r="M26" s="252"/>
      <c r="N26" s="252"/>
      <c r="O26" s="252"/>
      <c r="P26" s="252"/>
      <c r="Q26" s="252"/>
      <c r="R26" s="252"/>
      <c r="S26" s="252"/>
      <c r="T26" s="252"/>
      <c r="U26" s="252"/>
      <c r="V26" s="252"/>
      <c r="W26" s="252"/>
      <c r="X26" s="252"/>
      <c r="Y26" s="252"/>
      <c r="Z26" s="252"/>
      <c r="AA26" s="252"/>
      <c r="AB26" s="252"/>
      <c r="AC26" s="252"/>
      <c r="AD26" s="252"/>
      <c r="AE26" s="252"/>
      <c r="AF26" s="252"/>
      <c r="AG26" s="252"/>
      <c r="AH26" s="252"/>
    </row>
    <row r="27" spans="1:34" x14ac:dyDescent="0.2">
      <c r="A27" s="250"/>
      <c r="B27" s="250"/>
      <c r="C27" s="250"/>
      <c r="D27" s="250"/>
      <c r="E27" s="250"/>
      <c r="F27" s="250"/>
      <c r="G27" s="250"/>
      <c r="H27" s="250"/>
      <c r="I27" s="252"/>
      <c r="J27" s="252"/>
      <c r="K27" s="252"/>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row>
    <row r="28" spans="1:34" x14ac:dyDescent="0.2">
      <c r="A28" s="250"/>
      <c r="B28" s="250"/>
      <c r="C28" s="250"/>
      <c r="D28" s="250"/>
      <c r="E28" s="250"/>
      <c r="F28" s="250"/>
      <c r="G28" s="250"/>
      <c r="H28" s="250"/>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row>
    <row r="29" spans="1:34" x14ac:dyDescent="0.2">
      <c r="A29" s="250"/>
      <c r="B29" s="250"/>
      <c r="C29" s="250"/>
      <c r="D29" s="250"/>
      <c r="E29" s="250"/>
      <c r="F29" s="250"/>
      <c r="G29" s="250"/>
      <c r="H29" s="250"/>
      <c r="I29" s="252"/>
      <c r="J29" s="252"/>
      <c r="K29" s="252"/>
      <c r="L29" s="252"/>
      <c r="M29" s="252"/>
      <c r="N29" s="252"/>
      <c r="O29" s="252"/>
      <c r="P29" s="252"/>
      <c r="Q29" s="252"/>
      <c r="R29" s="252"/>
      <c r="S29" s="252"/>
      <c r="T29" s="252"/>
      <c r="U29" s="252"/>
      <c r="V29" s="252"/>
      <c r="W29" s="252"/>
      <c r="X29" s="252"/>
      <c r="Y29" s="252"/>
      <c r="Z29" s="252"/>
      <c r="AA29" s="252"/>
      <c r="AB29" s="252"/>
      <c r="AC29" s="252"/>
      <c r="AD29" s="252"/>
      <c r="AE29" s="252"/>
      <c r="AF29" s="252"/>
      <c r="AG29" s="252"/>
      <c r="AH29" s="252"/>
    </row>
    <row r="30" spans="1:34" x14ac:dyDescent="0.2">
      <c r="A30" s="250"/>
      <c r="B30" s="250"/>
      <c r="C30" s="250"/>
      <c r="D30" s="250"/>
      <c r="E30" s="250"/>
      <c r="F30" s="250"/>
      <c r="G30" s="250"/>
      <c r="H30" s="250"/>
      <c r="I30" s="252"/>
      <c r="J30" s="252"/>
      <c r="K30" s="252"/>
      <c r="L30" s="252"/>
      <c r="M30" s="252"/>
      <c r="N30" s="252"/>
      <c r="O30" s="252"/>
      <c r="P30" s="252"/>
      <c r="Q30" s="252"/>
      <c r="R30" s="252"/>
      <c r="S30" s="252"/>
      <c r="T30" s="252"/>
      <c r="U30" s="252"/>
      <c r="V30" s="252"/>
      <c r="W30" s="252"/>
      <c r="X30" s="252"/>
      <c r="Y30" s="252"/>
      <c r="Z30" s="252"/>
      <c r="AA30" s="252"/>
      <c r="AB30" s="252"/>
      <c r="AC30" s="252"/>
      <c r="AD30" s="252"/>
      <c r="AE30" s="252"/>
      <c r="AF30" s="252"/>
      <c r="AG30" s="252"/>
      <c r="AH30" s="252"/>
    </row>
    <row r="31" spans="1:34" x14ac:dyDescent="0.2">
      <c r="A31" s="250"/>
      <c r="B31" s="250"/>
      <c r="C31" s="250"/>
      <c r="D31" s="250"/>
      <c r="E31" s="250"/>
      <c r="F31" s="250"/>
      <c r="G31" s="250"/>
      <c r="H31" s="250"/>
      <c r="I31" s="252"/>
      <c r="J31" s="252"/>
      <c r="K31" s="252"/>
      <c r="L31" s="252"/>
      <c r="M31" s="252"/>
      <c r="N31" s="252"/>
      <c r="O31" s="252"/>
      <c r="P31" s="252"/>
      <c r="Q31" s="252"/>
      <c r="R31" s="252"/>
      <c r="S31" s="252"/>
      <c r="T31" s="252"/>
      <c r="U31" s="252"/>
      <c r="V31" s="252"/>
      <c r="W31" s="252"/>
      <c r="X31" s="252"/>
      <c r="Y31" s="252"/>
      <c r="Z31" s="252"/>
      <c r="AA31" s="252"/>
      <c r="AB31" s="252"/>
      <c r="AC31" s="252"/>
      <c r="AD31" s="252"/>
      <c r="AE31" s="252"/>
      <c r="AF31" s="252"/>
      <c r="AG31" s="252"/>
      <c r="AH31" s="252"/>
    </row>
    <row r="32" spans="1:34" x14ac:dyDescent="0.2">
      <c r="A32" s="250"/>
      <c r="B32" s="250"/>
      <c r="C32" s="250"/>
      <c r="D32" s="250"/>
      <c r="E32" s="250"/>
      <c r="F32" s="250"/>
      <c r="G32" s="250"/>
      <c r="H32" s="250"/>
      <c r="I32" s="252"/>
      <c r="J32" s="252"/>
      <c r="K32" s="252"/>
      <c r="L32" s="252"/>
      <c r="M32" s="252"/>
      <c r="N32" s="252"/>
      <c r="O32" s="252"/>
      <c r="P32" s="252"/>
      <c r="Q32" s="252"/>
      <c r="R32" s="252"/>
      <c r="S32" s="252"/>
      <c r="T32" s="252"/>
      <c r="U32" s="252"/>
      <c r="V32" s="252"/>
      <c r="W32" s="252"/>
      <c r="X32" s="252"/>
      <c r="Y32" s="252"/>
      <c r="Z32" s="252"/>
      <c r="AA32" s="252"/>
      <c r="AB32" s="252"/>
      <c r="AC32" s="252"/>
      <c r="AD32" s="252"/>
      <c r="AE32" s="252"/>
      <c r="AF32" s="252"/>
      <c r="AG32" s="252"/>
      <c r="AH32" s="252"/>
    </row>
    <row r="33" spans="1:34" x14ac:dyDescent="0.2">
      <c r="A33" s="251"/>
      <c r="B33" s="251"/>
      <c r="C33" s="251"/>
      <c r="D33" s="251"/>
      <c r="E33" s="251"/>
      <c r="F33" s="251"/>
      <c r="G33" s="251"/>
      <c r="H33" s="251"/>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c r="AG33" s="252"/>
      <c r="AH33" s="252"/>
    </row>
    <row r="34" spans="1:34" x14ac:dyDescent="0.2">
      <c r="A34" s="251"/>
      <c r="B34" s="251"/>
      <c r="C34" s="251"/>
      <c r="D34" s="251"/>
      <c r="E34" s="251"/>
      <c r="F34" s="251"/>
      <c r="G34" s="251"/>
      <c r="H34" s="251"/>
      <c r="I34" s="252"/>
      <c r="J34" s="252"/>
      <c r="K34" s="252"/>
      <c r="L34" s="252"/>
      <c r="M34" s="252"/>
      <c r="N34" s="252"/>
      <c r="O34" s="252"/>
      <c r="P34" s="252"/>
      <c r="Q34" s="252"/>
      <c r="R34" s="252"/>
      <c r="S34" s="252"/>
      <c r="T34" s="252"/>
      <c r="U34" s="252"/>
      <c r="V34" s="252"/>
      <c r="W34" s="252"/>
      <c r="X34" s="252"/>
      <c r="Y34" s="252"/>
      <c r="Z34" s="252"/>
      <c r="AA34" s="252"/>
      <c r="AB34" s="252"/>
      <c r="AC34" s="252"/>
      <c r="AD34" s="252"/>
      <c r="AE34" s="252"/>
      <c r="AF34" s="252"/>
      <c r="AG34" s="252"/>
      <c r="AH34" s="252"/>
    </row>
    <row r="35" spans="1:34" x14ac:dyDescent="0.2">
      <c r="A35" s="251"/>
      <c r="B35" s="251"/>
      <c r="C35" s="251"/>
      <c r="D35" s="251"/>
      <c r="E35" s="251"/>
      <c r="F35" s="251"/>
      <c r="G35" s="251"/>
      <c r="H35" s="251"/>
      <c r="I35" s="252"/>
      <c r="J35" s="252"/>
      <c r="K35" s="252"/>
      <c r="L35" s="252"/>
      <c r="M35" s="252"/>
      <c r="N35" s="252"/>
      <c r="O35" s="252"/>
      <c r="P35" s="252"/>
      <c r="Q35" s="252"/>
      <c r="R35" s="252"/>
      <c r="S35" s="252"/>
      <c r="T35" s="252"/>
      <c r="U35" s="252"/>
      <c r="V35" s="252"/>
      <c r="W35" s="252"/>
      <c r="X35" s="252"/>
      <c r="Y35" s="252"/>
      <c r="Z35" s="252"/>
      <c r="AA35" s="252"/>
      <c r="AB35" s="252"/>
      <c r="AC35" s="252"/>
      <c r="AD35" s="252"/>
      <c r="AE35" s="252"/>
      <c r="AF35" s="252"/>
      <c r="AG35" s="252"/>
      <c r="AH35" s="252"/>
    </row>
    <row r="36" spans="1:34" x14ac:dyDescent="0.2">
      <c r="A36" s="251"/>
      <c r="B36" s="251"/>
      <c r="C36" s="251"/>
      <c r="D36" s="251"/>
      <c r="E36" s="251"/>
      <c r="F36" s="251"/>
      <c r="G36" s="251"/>
      <c r="H36" s="251"/>
      <c r="I36" s="252"/>
      <c r="J36" s="252"/>
      <c r="K36" s="252"/>
      <c r="L36" s="252"/>
      <c r="M36" s="252"/>
      <c r="N36" s="252"/>
      <c r="O36" s="252"/>
      <c r="P36" s="252"/>
      <c r="Q36" s="252"/>
      <c r="R36" s="252"/>
      <c r="S36" s="252"/>
      <c r="T36" s="252"/>
      <c r="U36" s="252"/>
      <c r="V36" s="252"/>
      <c r="W36" s="252"/>
      <c r="X36" s="252"/>
      <c r="Y36" s="252"/>
      <c r="Z36" s="252"/>
      <c r="AA36" s="252"/>
      <c r="AB36" s="252"/>
      <c r="AC36" s="252"/>
      <c r="AD36" s="252"/>
      <c r="AE36" s="252"/>
      <c r="AF36" s="252"/>
      <c r="AG36" s="252"/>
      <c r="AH36" s="252"/>
    </row>
    <row r="37" spans="1:34" x14ac:dyDescent="0.2">
      <c r="A37" s="251"/>
      <c r="B37" s="251"/>
      <c r="C37" s="251"/>
      <c r="D37" s="251"/>
      <c r="E37" s="251"/>
      <c r="F37" s="251"/>
      <c r="G37" s="251"/>
      <c r="H37" s="251"/>
      <c r="I37" s="252"/>
      <c r="J37" s="252"/>
      <c r="K37" s="252"/>
      <c r="L37" s="252"/>
      <c r="M37" s="252"/>
      <c r="N37" s="252"/>
      <c r="O37" s="252"/>
      <c r="P37" s="252"/>
      <c r="Q37" s="252"/>
      <c r="R37" s="252"/>
      <c r="S37" s="252"/>
      <c r="T37" s="252"/>
      <c r="U37" s="252"/>
      <c r="V37" s="252"/>
      <c r="W37" s="252"/>
      <c r="X37" s="252"/>
      <c r="Y37" s="252"/>
      <c r="Z37" s="252"/>
      <c r="AA37" s="252"/>
      <c r="AB37" s="252"/>
      <c r="AC37" s="252"/>
      <c r="AD37" s="252"/>
      <c r="AE37" s="252"/>
      <c r="AF37" s="252"/>
      <c r="AG37" s="252"/>
      <c r="AH37" s="252"/>
    </row>
    <row r="38" spans="1:34" x14ac:dyDescent="0.2">
      <c r="A38" s="251"/>
      <c r="B38" s="251"/>
      <c r="C38" s="251"/>
      <c r="D38" s="251"/>
      <c r="E38" s="251"/>
      <c r="F38" s="251"/>
      <c r="G38" s="251"/>
      <c r="H38" s="251"/>
      <c r="I38" s="252"/>
      <c r="J38" s="252"/>
      <c r="K38" s="252"/>
      <c r="L38" s="252"/>
      <c r="M38" s="252"/>
      <c r="N38" s="252"/>
      <c r="O38" s="252"/>
      <c r="P38" s="252"/>
      <c r="Q38" s="252"/>
      <c r="R38" s="252"/>
      <c r="S38" s="252"/>
      <c r="T38" s="252"/>
      <c r="U38" s="252"/>
      <c r="V38" s="252"/>
      <c r="W38" s="252"/>
      <c r="X38" s="252"/>
      <c r="Y38" s="252"/>
      <c r="Z38" s="252"/>
      <c r="AA38" s="252"/>
      <c r="AB38" s="252"/>
      <c r="AC38" s="252"/>
      <c r="AD38" s="252"/>
      <c r="AE38" s="252"/>
      <c r="AF38" s="252"/>
      <c r="AG38" s="252"/>
      <c r="AH38" s="252"/>
    </row>
    <row r="39" spans="1:34" x14ac:dyDescent="0.2">
      <c r="A39" s="251"/>
      <c r="B39" s="251"/>
      <c r="C39" s="251"/>
      <c r="D39" s="251"/>
      <c r="E39" s="251"/>
      <c r="F39" s="251"/>
      <c r="G39" s="251"/>
      <c r="H39" s="251"/>
      <c r="I39" s="252"/>
      <c r="J39" s="252"/>
      <c r="K39" s="252"/>
      <c r="L39" s="252"/>
      <c r="M39" s="252"/>
      <c r="N39" s="252"/>
      <c r="O39" s="252"/>
      <c r="P39" s="252"/>
      <c r="Q39" s="252"/>
      <c r="R39" s="252"/>
      <c r="S39" s="252"/>
      <c r="T39" s="252"/>
      <c r="U39" s="252"/>
      <c r="V39" s="252"/>
      <c r="W39" s="252"/>
      <c r="X39" s="252"/>
      <c r="Y39" s="252"/>
      <c r="Z39" s="252"/>
      <c r="AA39" s="252"/>
      <c r="AB39" s="252"/>
      <c r="AC39" s="252"/>
      <c r="AD39" s="252"/>
      <c r="AE39" s="252"/>
      <c r="AF39" s="252"/>
      <c r="AG39" s="252"/>
      <c r="AH39" s="252"/>
    </row>
    <row r="40" spans="1:34" x14ac:dyDescent="0.2">
      <c r="A40" s="251"/>
      <c r="B40" s="251"/>
      <c r="C40" s="251"/>
      <c r="D40" s="251"/>
      <c r="E40" s="251"/>
      <c r="F40" s="251"/>
      <c r="G40" s="251"/>
      <c r="H40" s="251"/>
      <c r="I40" s="252"/>
      <c r="J40" s="252"/>
      <c r="K40" s="252"/>
      <c r="L40" s="252"/>
      <c r="M40" s="252"/>
      <c r="N40" s="252"/>
      <c r="O40" s="252"/>
      <c r="P40" s="252"/>
      <c r="Q40" s="252"/>
      <c r="R40" s="252"/>
      <c r="S40" s="252"/>
      <c r="T40" s="252"/>
      <c r="U40" s="252"/>
      <c r="V40" s="252"/>
      <c r="W40" s="252"/>
      <c r="X40" s="252"/>
      <c r="Y40" s="252"/>
      <c r="Z40" s="252"/>
      <c r="AA40" s="252"/>
      <c r="AB40" s="252"/>
      <c r="AC40" s="252"/>
      <c r="AD40" s="252"/>
      <c r="AE40" s="252"/>
      <c r="AF40" s="252"/>
      <c r="AG40" s="252"/>
      <c r="AH40" s="252"/>
    </row>
    <row r="41" spans="1:34" x14ac:dyDescent="0.2">
      <c r="A41" s="251"/>
      <c r="B41" s="251"/>
      <c r="C41" s="251"/>
      <c r="D41" s="251"/>
      <c r="E41" s="251"/>
      <c r="F41" s="251"/>
      <c r="G41" s="251"/>
      <c r="H41" s="251"/>
      <c r="I41" s="252"/>
      <c r="J41" s="252"/>
      <c r="K41" s="252"/>
      <c r="L41" s="252"/>
      <c r="M41" s="252"/>
      <c r="N41" s="252"/>
      <c r="O41" s="252"/>
      <c r="P41" s="252"/>
      <c r="Q41" s="252"/>
      <c r="R41" s="252"/>
      <c r="S41" s="252"/>
      <c r="T41" s="252"/>
      <c r="U41" s="252"/>
      <c r="V41" s="252"/>
      <c r="W41" s="252"/>
      <c r="X41" s="252"/>
      <c r="Y41" s="252"/>
      <c r="Z41" s="252"/>
      <c r="AA41" s="252"/>
      <c r="AB41" s="252"/>
      <c r="AC41" s="252"/>
      <c r="AD41" s="252"/>
      <c r="AE41" s="252"/>
      <c r="AF41" s="252"/>
      <c r="AG41" s="252"/>
      <c r="AH41" s="252"/>
    </row>
    <row r="42" spans="1:34" x14ac:dyDescent="0.2">
      <c r="A42" s="251"/>
      <c r="B42" s="251"/>
      <c r="C42" s="251"/>
      <c r="D42" s="251"/>
      <c r="E42" s="251"/>
      <c r="F42" s="251"/>
      <c r="G42" s="251"/>
      <c r="H42" s="251"/>
      <c r="I42" s="252"/>
      <c r="J42" s="252"/>
      <c r="K42" s="252"/>
      <c r="L42" s="252"/>
      <c r="M42" s="252"/>
      <c r="N42" s="252"/>
      <c r="O42" s="252"/>
      <c r="P42" s="252"/>
      <c r="Q42" s="252"/>
      <c r="R42" s="252"/>
      <c r="S42" s="252"/>
      <c r="T42" s="252"/>
      <c r="U42" s="252"/>
      <c r="V42" s="252"/>
      <c r="W42" s="252"/>
      <c r="X42" s="252"/>
      <c r="Y42" s="252"/>
      <c r="Z42" s="252"/>
      <c r="AA42" s="252"/>
      <c r="AB42" s="252"/>
      <c r="AC42" s="252"/>
      <c r="AD42" s="252"/>
      <c r="AE42" s="252"/>
      <c r="AF42" s="252"/>
      <c r="AG42" s="252"/>
      <c r="AH42" s="252"/>
    </row>
    <row r="43" spans="1:34" x14ac:dyDescent="0.2">
      <c r="A43" s="251"/>
      <c r="B43" s="251"/>
      <c r="C43" s="251"/>
      <c r="D43" s="251"/>
      <c r="E43" s="251"/>
      <c r="F43" s="251"/>
      <c r="G43" s="251"/>
      <c r="H43" s="251"/>
      <c r="I43" s="252"/>
      <c r="J43" s="252"/>
      <c r="K43" s="252"/>
      <c r="L43" s="252"/>
      <c r="M43" s="252"/>
      <c r="N43" s="252"/>
      <c r="O43" s="252"/>
      <c r="P43" s="252"/>
      <c r="Q43" s="252"/>
      <c r="R43" s="252"/>
      <c r="S43" s="252"/>
      <c r="T43" s="252"/>
      <c r="U43" s="252"/>
      <c r="V43" s="252"/>
      <c r="W43" s="252"/>
      <c r="X43" s="252"/>
      <c r="Y43" s="252"/>
      <c r="Z43" s="252"/>
      <c r="AA43" s="252"/>
      <c r="AB43" s="252"/>
      <c r="AC43" s="252"/>
      <c r="AD43" s="252"/>
      <c r="AE43" s="252"/>
      <c r="AF43" s="252"/>
      <c r="AG43" s="252"/>
      <c r="AH43" s="252"/>
    </row>
    <row r="44" spans="1:34" x14ac:dyDescent="0.2">
      <c r="A44" s="251"/>
      <c r="B44" s="251"/>
      <c r="C44" s="251"/>
      <c r="D44" s="251"/>
      <c r="E44" s="251"/>
      <c r="F44" s="251"/>
      <c r="G44" s="251"/>
      <c r="H44" s="251"/>
      <c r="I44" s="252"/>
      <c r="J44" s="252"/>
      <c r="K44" s="252"/>
      <c r="L44" s="252"/>
      <c r="M44" s="252"/>
      <c r="N44" s="252"/>
      <c r="O44" s="252"/>
      <c r="P44" s="252"/>
      <c r="Q44" s="252"/>
      <c r="R44" s="252"/>
      <c r="S44" s="252"/>
      <c r="T44" s="252"/>
      <c r="U44" s="252"/>
      <c r="V44" s="252"/>
      <c r="W44" s="252"/>
      <c r="X44" s="252"/>
      <c r="Y44" s="252"/>
      <c r="Z44" s="252"/>
      <c r="AA44" s="252"/>
      <c r="AB44" s="252"/>
      <c r="AC44" s="252"/>
      <c r="AD44" s="252"/>
      <c r="AE44" s="252"/>
      <c r="AF44" s="252"/>
      <c r="AG44" s="252"/>
      <c r="AH44" s="252"/>
    </row>
    <row r="45" spans="1:34" x14ac:dyDescent="0.2">
      <c r="A45" s="251"/>
      <c r="B45" s="251"/>
      <c r="C45" s="251"/>
      <c r="D45" s="251"/>
      <c r="E45" s="251"/>
      <c r="F45" s="251"/>
      <c r="G45" s="251"/>
      <c r="H45" s="251"/>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row>
    <row r="46" spans="1:34" x14ac:dyDescent="0.2">
      <c r="A46" s="251"/>
      <c r="B46" s="251"/>
      <c r="C46" s="251"/>
      <c r="D46" s="251"/>
      <c r="E46" s="251"/>
      <c r="F46" s="251"/>
      <c r="G46" s="251"/>
      <c r="H46" s="251"/>
      <c r="I46" s="252"/>
      <c r="J46" s="252"/>
      <c r="K46" s="252"/>
      <c r="L46" s="252"/>
      <c r="M46" s="252"/>
      <c r="N46" s="252"/>
      <c r="O46" s="252"/>
      <c r="P46" s="252"/>
      <c r="Q46" s="252"/>
      <c r="R46" s="252"/>
      <c r="S46" s="252"/>
      <c r="T46" s="252"/>
      <c r="U46" s="252"/>
      <c r="V46" s="252"/>
      <c r="W46" s="252"/>
      <c r="X46" s="252"/>
      <c r="Y46" s="252"/>
      <c r="Z46" s="252"/>
      <c r="AA46" s="252"/>
      <c r="AB46" s="252"/>
      <c r="AC46" s="252"/>
      <c r="AD46" s="252"/>
      <c r="AE46" s="252"/>
      <c r="AF46" s="252"/>
      <c r="AG46" s="252"/>
      <c r="AH46" s="252"/>
    </row>
    <row r="47" spans="1:34" x14ac:dyDescent="0.2">
      <c r="A47" s="251"/>
      <c r="B47" s="251"/>
      <c r="C47" s="251"/>
      <c r="D47" s="251"/>
      <c r="E47" s="251"/>
      <c r="F47" s="251"/>
      <c r="G47" s="251"/>
      <c r="H47" s="251"/>
      <c r="I47" s="252"/>
      <c r="J47" s="252"/>
      <c r="K47" s="252"/>
      <c r="L47" s="252"/>
      <c r="M47" s="252"/>
      <c r="N47" s="252"/>
      <c r="O47" s="252"/>
      <c r="P47" s="252"/>
      <c r="Q47" s="252"/>
      <c r="R47" s="252"/>
      <c r="S47" s="252"/>
      <c r="T47" s="252"/>
      <c r="U47" s="252"/>
      <c r="V47" s="252"/>
      <c r="W47" s="252"/>
      <c r="X47" s="252"/>
      <c r="Y47" s="252"/>
      <c r="Z47" s="252"/>
      <c r="AA47" s="252"/>
      <c r="AB47" s="252"/>
      <c r="AC47" s="252"/>
      <c r="AD47" s="252"/>
      <c r="AE47" s="252"/>
      <c r="AF47" s="252"/>
      <c r="AG47" s="252"/>
      <c r="AH47" s="252"/>
    </row>
    <row r="48" spans="1:34" x14ac:dyDescent="0.2">
      <c r="A48" s="251"/>
      <c r="B48" s="251"/>
      <c r="C48" s="251"/>
      <c r="D48" s="251"/>
      <c r="E48" s="251"/>
      <c r="F48" s="251"/>
      <c r="G48" s="251"/>
      <c r="H48" s="251"/>
      <c r="I48" s="252"/>
      <c r="J48" s="252"/>
      <c r="K48" s="252"/>
      <c r="L48" s="252"/>
      <c r="M48" s="252"/>
      <c r="N48" s="252"/>
      <c r="O48" s="252"/>
      <c r="P48" s="252"/>
      <c r="Q48" s="252"/>
      <c r="R48" s="252"/>
      <c r="S48" s="252"/>
      <c r="T48" s="252"/>
      <c r="U48" s="252"/>
      <c r="V48" s="252"/>
      <c r="W48" s="252"/>
      <c r="X48" s="252"/>
      <c r="Y48" s="252"/>
      <c r="Z48" s="252"/>
      <c r="AA48" s="252"/>
      <c r="AB48" s="252"/>
      <c r="AC48" s="252"/>
      <c r="AD48" s="252"/>
      <c r="AE48" s="252"/>
      <c r="AF48" s="252"/>
      <c r="AG48" s="252"/>
      <c r="AH48" s="252"/>
    </row>
    <row r="49" spans="1:34" x14ac:dyDescent="0.2">
      <c r="A49" s="250"/>
      <c r="B49" s="250"/>
      <c r="C49" s="250"/>
      <c r="D49" s="250"/>
      <c r="E49" s="250"/>
      <c r="F49" s="250"/>
      <c r="G49" s="250"/>
      <c r="H49" s="250"/>
      <c r="I49" s="252"/>
      <c r="J49" s="252"/>
      <c r="K49" s="252"/>
      <c r="L49" s="252"/>
      <c r="M49" s="252"/>
      <c r="N49" s="252"/>
      <c r="O49" s="252"/>
      <c r="P49" s="252"/>
      <c r="Q49" s="252"/>
      <c r="R49" s="252"/>
      <c r="S49" s="252"/>
      <c r="T49" s="252"/>
      <c r="U49" s="252"/>
      <c r="V49" s="252"/>
      <c r="W49" s="252"/>
      <c r="X49" s="252"/>
      <c r="Y49" s="252"/>
      <c r="Z49" s="252"/>
      <c r="AA49" s="252"/>
      <c r="AB49" s="252"/>
      <c r="AC49" s="252"/>
      <c r="AD49" s="252"/>
      <c r="AE49" s="252"/>
      <c r="AF49" s="252"/>
      <c r="AG49" s="252"/>
      <c r="AH49" s="252"/>
    </row>
    <row r="50" spans="1:34" x14ac:dyDescent="0.2">
      <c r="A50" s="250"/>
      <c r="B50" s="250"/>
      <c r="C50" s="250"/>
      <c r="D50" s="250"/>
      <c r="E50" s="250"/>
      <c r="F50" s="250"/>
      <c r="G50" s="250"/>
      <c r="H50" s="250"/>
      <c r="I50" s="252"/>
      <c r="J50" s="252"/>
      <c r="K50" s="252"/>
      <c r="L50" s="252"/>
      <c r="M50" s="252"/>
      <c r="N50" s="252"/>
      <c r="O50" s="252"/>
      <c r="P50" s="252"/>
      <c r="Q50" s="252"/>
      <c r="R50" s="252"/>
      <c r="S50" s="252"/>
      <c r="T50" s="252"/>
      <c r="U50" s="252"/>
      <c r="V50" s="252"/>
      <c r="W50" s="252"/>
      <c r="X50" s="252"/>
      <c r="Y50" s="252"/>
      <c r="Z50" s="252"/>
      <c r="AA50" s="252"/>
      <c r="AB50" s="252"/>
      <c r="AC50" s="252"/>
      <c r="AD50" s="252"/>
      <c r="AE50" s="252"/>
      <c r="AF50" s="252"/>
      <c r="AG50" s="252"/>
      <c r="AH50" s="252"/>
    </row>
    <row r="51" spans="1:34" x14ac:dyDescent="0.2">
      <c r="A51" s="250"/>
      <c r="B51" s="250"/>
      <c r="C51" s="250"/>
      <c r="D51" s="250"/>
      <c r="E51" s="250"/>
      <c r="F51" s="250"/>
      <c r="G51" s="250"/>
      <c r="H51" s="250"/>
      <c r="I51" s="252"/>
      <c r="J51" s="252"/>
      <c r="K51" s="252"/>
      <c r="L51" s="252"/>
      <c r="M51" s="252"/>
      <c r="N51" s="252"/>
      <c r="O51" s="252"/>
      <c r="P51" s="252"/>
      <c r="Q51" s="252"/>
      <c r="R51" s="252"/>
      <c r="S51" s="252"/>
      <c r="T51" s="252"/>
      <c r="U51" s="252"/>
      <c r="V51" s="252"/>
      <c r="W51" s="252"/>
      <c r="X51" s="252"/>
      <c r="Y51" s="252"/>
      <c r="Z51" s="252"/>
      <c r="AA51" s="252"/>
      <c r="AB51" s="252"/>
      <c r="AC51" s="252"/>
      <c r="AD51" s="252"/>
      <c r="AE51" s="252"/>
      <c r="AF51" s="252"/>
      <c r="AG51" s="252"/>
      <c r="AH51" s="252"/>
    </row>
    <row r="52" spans="1:34" x14ac:dyDescent="0.2">
      <c r="A52" s="250"/>
      <c r="B52" s="250"/>
      <c r="C52" s="250"/>
      <c r="D52" s="250"/>
      <c r="E52" s="250"/>
      <c r="F52" s="250"/>
      <c r="G52" s="250"/>
      <c r="H52" s="250"/>
      <c r="I52" s="252"/>
      <c r="J52" s="252"/>
      <c r="K52" s="252"/>
      <c r="L52" s="252"/>
      <c r="M52" s="252"/>
      <c r="N52" s="252"/>
      <c r="O52" s="252"/>
      <c r="P52" s="252"/>
      <c r="Q52" s="252"/>
      <c r="R52" s="252"/>
      <c r="S52" s="252"/>
      <c r="T52" s="252"/>
      <c r="U52" s="252"/>
      <c r="V52" s="252"/>
      <c r="W52" s="252"/>
      <c r="X52" s="252"/>
      <c r="Y52" s="252"/>
      <c r="Z52" s="252"/>
      <c r="AA52" s="252"/>
      <c r="AB52" s="252"/>
      <c r="AC52" s="252"/>
      <c r="AD52" s="252"/>
      <c r="AE52" s="252"/>
      <c r="AF52" s="252"/>
      <c r="AG52" s="252"/>
      <c r="AH52" s="252"/>
    </row>
    <row r="53" spans="1:34" x14ac:dyDescent="0.2">
      <c r="A53" s="250"/>
      <c r="B53" s="250"/>
      <c r="C53" s="250"/>
      <c r="D53" s="250"/>
      <c r="E53" s="250"/>
      <c r="F53" s="250"/>
      <c r="G53" s="250"/>
      <c r="H53" s="250"/>
      <c r="I53" s="252"/>
      <c r="J53" s="252"/>
      <c r="K53" s="252"/>
      <c r="L53" s="252"/>
      <c r="M53" s="252"/>
      <c r="N53" s="252"/>
      <c r="O53" s="252"/>
      <c r="P53" s="252"/>
      <c r="Q53" s="252"/>
      <c r="R53" s="252"/>
      <c r="S53" s="252"/>
      <c r="T53" s="252"/>
      <c r="U53" s="252"/>
      <c r="V53" s="252"/>
      <c r="W53" s="252"/>
      <c r="X53" s="252"/>
      <c r="Y53" s="252"/>
      <c r="Z53" s="252"/>
      <c r="AA53" s="252"/>
      <c r="AB53" s="252"/>
      <c r="AC53" s="252"/>
      <c r="AD53" s="252"/>
      <c r="AE53" s="252"/>
      <c r="AF53" s="252"/>
      <c r="AG53" s="252"/>
      <c r="AH53" s="252"/>
    </row>
    <row r="54" spans="1:34" x14ac:dyDescent="0.2">
      <c r="A54" s="250"/>
      <c r="B54" s="250"/>
      <c r="C54" s="250"/>
      <c r="D54" s="250"/>
      <c r="E54" s="250"/>
      <c r="F54" s="250"/>
      <c r="G54" s="250"/>
      <c r="H54" s="250"/>
      <c r="I54" s="252"/>
      <c r="J54" s="252"/>
      <c r="K54" s="252"/>
      <c r="L54" s="252"/>
      <c r="M54" s="252"/>
      <c r="N54" s="252"/>
      <c r="O54" s="252"/>
      <c r="P54" s="252"/>
      <c r="Q54" s="252"/>
      <c r="R54" s="252"/>
      <c r="S54" s="252"/>
      <c r="T54" s="252"/>
      <c r="U54" s="252"/>
      <c r="V54" s="252"/>
      <c r="W54" s="252"/>
      <c r="X54" s="252"/>
      <c r="Y54" s="252"/>
      <c r="Z54" s="252"/>
      <c r="AA54" s="252"/>
      <c r="AB54" s="252"/>
      <c r="AC54" s="252"/>
      <c r="AD54" s="252"/>
      <c r="AE54" s="252"/>
      <c r="AF54" s="252"/>
      <c r="AG54" s="252"/>
      <c r="AH54" s="252"/>
    </row>
    <row r="55" spans="1:34" x14ac:dyDescent="0.2">
      <c r="A55" s="250"/>
      <c r="B55" s="250"/>
      <c r="C55" s="250"/>
      <c r="D55" s="250"/>
      <c r="E55" s="250"/>
      <c r="F55" s="250"/>
      <c r="G55" s="250"/>
      <c r="H55" s="250"/>
      <c r="I55" s="252"/>
      <c r="J55" s="252"/>
      <c r="K55" s="252"/>
      <c r="L55" s="252"/>
      <c r="M55" s="252"/>
      <c r="N55" s="252"/>
      <c r="O55" s="252"/>
      <c r="P55" s="252"/>
      <c r="Q55" s="252"/>
      <c r="R55" s="252"/>
      <c r="S55" s="252"/>
      <c r="T55" s="252"/>
      <c r="U55" s="252"/>
      <c r="V55" s="252"/>
      <c r="W55" s="252"/>
      <c r="X55" s="252"/>
      <c r="Y55" s="252"/>
      <c r="Z55" s="252"/>
      <c r="AA55" s="252"/>
      <c r="AB55" s="252"/>
      <c r="AC55" s="252"/>
      <c r="AD55" s="252"/>
      <c r="AE55" s="252"/>
      <c r="AF55" s="252"/>
      <c r="AG55" s="252"/>
      <c r="AH55" s="252"/>
    </row>
    <row r="56" spans="1:34" x14ac:dyDescent="0.2">
      <c r="A56" s="250"/>
      <c r="B56" s="250"/>
      <c r="C56" s="250"/>
      <c r="D56" s="250"/>
      <c r="E56" s="250"/>
      <c r="F56" s="250"/>
      <c r="G56" s="250"/>
      <c r="H56" s="250"/>
      <c r="I56" s="252"/>
      <c r="J56" s="252"/>
      <c r="K56" s="252"/>
      <c r="L56" s="252"/>
      <c r="M56" s="252"/>
      <c r="N56" s="252"/>
      <c r="O56" s="252"/>
      <c r="P56" s="252"/>
      <c r="Q56" s="252"/>
      <c r="R56" s="252"/>
      <c r="S56" s="252"/>
      <c r="T56" s="252"/>
      <c r="U56" s="252"/>
      <c r="V56" s="252"/>
      <c r="W56" s="252"/>
      <c r="X56" s="252"/>
      <c r="Y56" s="252"/>
      <c r="Z56" s="252"/>
      <c r="AA56" s="252"/>
      <c r="AB56" s="252"/>
      <c r="AC56" s="252"/>
      <c r="AD56" s="252"/>
      <c r="AE56" s="252"/>
      <c r="AF56" s="252"/>
      <c r="AG56" s="252"/>
      <c r="AH56" s="252"/>
    </row>
    <row r="57" spans="1:34" x14ac:dyDescent="0.2">
      <c r="A57" s="252"/>
      <c r="B57" s="252"/>
      <c r="C57" s="252"/>
      <c r="D57" s="252"/>
      <c r="E57" s="252"/>
      <c r="F57" s="252"/>
      <c r="G57" s="252"/>
      <c r="H57" s="252"/>
      <c r="I57" s="252"/>
      <c r="J57" s="252"/>
      <c r="K57" s="252"/>
      <c r="L57" s="252"/>
      <c r="M57" s="252"/>
      <c r="N57" s="252"/>
      <c r="O57" s="252"/>
      <c r="P57" s="252"/>
      <c r="Q57" s="252"/>
      <c r="R57" s="252"/>
      <c r="S57" s="252"/>
      <c r="T57" s="252"/>
      <c r="U57" s="252"/>
      <c r="V57" s="252"/>
      <c r="W57" s="252"/>
      <c r="X57" s="252"/>
      <c r="Y57" s="252"/>
      <c r="Z57" s="252"/>
      <c r="AA57" s="252"/>
      <c r="AB57" s="252"/>
      <c r="AC57" s="252"/>
      <c r="AD57" s="252"/>
      <c r="AE57" s="252"/>
      <c r="AF57" s="252"/>
      <c r="AG57" s="252"/>
      <c r="AH57" s="252"/>
    </row>
    <row r="58" spans="1:34" x14ac:dyDescent="0.2">
      <c r="A58" s="252"/>
      <c r="B58" s="252"/>
      <c r="C58" s="252"/>
      <c r="D58" s="252"/>
      <c r="E58" s="252"/>
      <c r="F58" s="252"/>
      <c r="G58" s="252"/>
      <c r="H58" s="252"/>
      <c r="I58" s="252"/>
      <c r="J58" s="252"/>
      <c r="K58" s="252"/>
      <c r="L58" s="252"/>
      <c r="M58" s="252"/>
      <c r="N58" s="252"/>
      <c r="O58" s="252"/>
      <c r="P58" s="252"/>
      <c r="Q58" s="252"/>
      <c r="R58" s="252"/>
      <c r="S58" s="252"/>
      <c r="T58" s="252"/>
      <c r="U58" s="252"/>
      <c r="V58" s="252"/>
      <c r="W58" s="252"/>
      <c r="X58" s="252"/>
      <c r="Y58" s="252"/>
      <c r="Z58" s="252"/>
      <c r="AA58" s="252"/>
      <c r="AB58" s="252"/>
      <c r="AC58" s="252"/>
      <c r="AD58" s="252"/>
      <c r="AE58" s="252"/>
      <c r="AF58" s="252"/>
      <c r="AG58" s="252"/>
      <c r="AH58" s="252"/>
    </row>
    <row r="59" spans="1:34" x14ac:dyDescent="0.2">
      <c r="A59" s="252"/>
      <c r="B59" s="252"/>
      <c r="C59" s="252"/>
      <c r="D59" s="252"/>
      <c r="E59" s="252"/>
      <c r="F59" s="252"/>
      <c r="G59" s="252"/>
      <c r="H59" s="252"/>
      <c r="I59" s="252"/>
      <c r="J59" s="252"/>
      <c r="K59" s="252"/>
      <c r="L59" s="252"/>
      <c r="M59" s="252"/>
      <c r="N59" s="252"/>
      <c r="O59" s="252"/>
      <c r="P59" s="252"/>
      <c r="Q59" s="252"/>
      <c r="R59" s="252"/>
      <c r="S59" s="252"/>
      <c r="T59" s="252"/>
      <c r="U59" s="252"/>
      <c r="V59" s="252"/>
      <c r="W59" s="252"/>
      <c r="X59" s="252"/>
      <c r="Y59" s="252"/>
      <c r="Z59" s="252"/>
      <c r="AA59" s="252"/>
      <c r="AB59" s="252"/>
      <c r="AC59" s="252"/>
      <c r="AD59" s="252"/>
      <c r="AE59" s="252"/>
      <c r="AF59" s="252"/>
      <c r="AG59" s="252"/>
      <c r="AH59" s="252"/>
    </row>
    <row r="60" spans="1:34" x14ac:dyDescent="0.2">
      <c r="A60" s="252"/>
      <c r="B60" s="252"/>
      <c r="C60" s="252"/>
      <c r="D60" s="252"/>
      <c r="E60" s="252"/>
      <c r="F60" s="252"/>
      <c r="G60" s="252"/>
      <c r="H60" s="252"/>
      <c r="I60" s="252"/>
      <c r="J60" s="252"/>
      <c r="K60" s="252"/>
      <c r="L60" s="252"/>
      <c r="M60" s="252"/>
      <c r="N60" s="252"/>
      <c r="O60" s="252"/>
      <c r="P60" s="252"/>
      <c r="Q60" s="252"/>
      <c r="R60" s="252"/>
      <c r="S60" s="252"/>
      <c r="T60" s="252"/>
      <c r="U60" s="252"/>
      <c r="V60" s="252"/>
      <c r="W60" s="252"/>
      <c r="X60" s="252"/>
      <c r="Y60" s="252"/>
      <c r="Z60" s="252"/>
      <c r="AA60" s="252"/>
      <c r="AB60" s="252"/>
      <c r="AC60" s="252"/>
      <c r="AD60" s="252"/>
      <c r="AE60" s="252"/>
      <c r="AF60" s="252"/>
      <c r="AG60" s="252"/>
      <c r="AH60" s="252"/>
    </row>
    <row r="61" spans="1:34" x14ac:dyDescent="0.2">
      <c r="A61" s="252"/>
      <c r="B61" s="252"/>
      <c r="C61" s="252"/>
      <c r="D61" s="252"/>
      <c r="E61" s="252"/>
      <c r="F61" s="252"/>
      <c r="G61" s="252"/>
      <c r="H61" s="252"/>
      <c r="I61" s="252"/>
      <c r="J61" s="252"/>
      <c r="K61" s="252"/>
      <c r="L61" s="252"/>
      <c r="M61" s="252"/>
      <c r="N61" s="252"/>
      <c r="O61" s="252"/>
      <c r="P61" s="252"/>
      <c r="Q61" s="252"/>
      <c r="R61" s="252"/>
      <c r="S61" s="252"/>
      <c r="T61" s="252"/>
      <c r="U61" s="252"/>
      <c r="V61" s="252"/>
      <c r="W61" s="252"/>
      <c r="X61" s="252"/>
      <c r="Y61" s="252"/>
      <c r="Z61" s="252"/>
      <c r="AA61" s="252"/>
      <c r="AB61" s="252"/>
      <c r="AC61" s="252"/>
      <c r="AD61" s="252"/>
      <c r="AE61" s="252"/>
      <c r="AF61" s="252"/>
      <c r="AG61" s="252"/>
      <c r="AH61" s="252"/>
    </row>
    <row r="62" spans="1:34" x14ac:dyDescent="0.2">
      <c r="A62" s="252"/>
      <c r="B62" s="252"/>
      <c r="C62" s="252"/>
      <c r="D62" s="252"/>
      <c r="E62" s="252"/>
      <c r="F62" s="252"/>
      <c r="G62" s="252"/>
      <c r="H62" s="252"/>
      <c r="I62" s="252"/>
      <c r="J62" s="252"/>
      <c r="K62" s="252"/>
      <c r="L62" s="252"/>
      <c r="M62" s="252"/>
      <c r="N62" s="252"/>
      <c r="O62" s="252"/>
      <c r="P62" s="252"/>
      <c r="Q62" s="252"/>
      <c r="R62" s="252"/>
      <c r="S62" s="252"/>
      <c r="T62" s="252"/>
      <c r="U62" s="252"/>
      <c r="V62" s="252"/>
      <c r="W62" s="252"/>
      <c r="X62" s="252"/>
      <c r="Y62" s="252"/>
      <c r="Z62" s="252"/>
      <c r="AA62" s="252"/>
      <c r="AB62" s="252"/>
      <c r="AC62" s="252"/>
      <c r="AD62" s="252"/>
      <c r="AE62" s="252"/>
      <c r="AF62" s="252"/>
      <c r="AG62" s="252"/>
      <c r="AH62" s="252"/>
    </row>
    <row r="63" spans="1:34" x14ac:dyDescent="0.2">
      <c r="A63" s="252"/>
      <c r="B63" s="252"/>
      <c r="C63" s="252"/>
      <c r="D63" s="252"/>
      <c r="E63" s="252"/>
      <c r="F63" s="252"/>
      <c r="G63" s="252"/>
      <c r="H63" s="252"/>
      <c r="I63" s="252"/>
      <c r="J63" s="252"/>
      <c r="K63" s="252"/>
      <c r="L63" s="252"/>
      <c r="M63" s="252"/>
      <c r="N63" s="252"/>
      <c r="O63" s="252"/>
      <c r="P63" s="252"/>
      <c r="Q63" s="252"/>
      <c r="R63" s="252"/>
      <c r="S63" s="252"/>
      <c r="T63" s="252"/>
      <c r="U63" s="252"/>
      <c r="V63" s="252"/>
      <c r="W63" s="252"/>
      <c r="X63" s="252"/>
      <c r="Y63" s="252"/>
      <c r="Z63" s="252"/>
      <c r="AA63" s="252"/>
      <c r="AB63" s="252"/>
      <c r="AC63" s="252"/>
      <c r="AD63" s="252"/>
      <c r="AE63" s="252"/>
      <c r="AF63" s="252"/>
      <c r="AG63" s="252"/>
      <c r="AH63" s="252"/>
    </row>
    <row r="64" spans="1:34" x14ac:dyDescent="0.2">
      <c r="A64" s="252"/>
      <c r="B64" s="252"/>
      <c r="C64" s="252"/>
      <c r="D64" s="252"/>
      <c r="E64" s="252"/>
      <c r="F64" s="252"/>
      <c r="G64" s="252"/>
      <c r="H64" s="252"/>
      <c r="I64" s="252"/>
      <c r="J64" s="252"/>
      <c r="K64" s="252"/>
      <c r="L64" s="252"/>
      <c r="M64" s="252"/>
      <c r="N64" s="252"/>
      <c r="O64" s="252"/>
      <c r="P64" s="252"/>
      <c r="Q64" s="252"/>
      <c r="R64" s="252"/>
      <c r="S64" s="252"/>
      <c r="T64" s="252"/>
      <c r="U64" s="252"/>
      <c r="V64" s="252"/>
      <c r="W64" s="252"/>
      <c r="X64" s="252"/>
      <c r="Y64" s="252"/>
      <c r="Z64" s="252"/>
      <c r="AA64" s="252"/>
      <c r="AB64" s="252"/>
      <c r="AC64" s="252"/>
      <c r="AD64" s="252"/>
      <c r="AE64" s="252"/>
      <c r="AF64" s="252"/>
      <c r="AG64" s="252"/>
      <c r="AH64" s="252"/>
    </row>
    <row r="65" spans="1:34" x14ac:dyDescent="0.2">
      <c r="A65" s="252"/>
      <c r="B65" s="252"/>
      <c r="C65" s="252"/>
      <c r="D65" s="252"/>
      <c r="E65" s="252"/>
      <c r="F65" s="252"/>
      <c r="G65" s="252"/>
      <c r="H65" s="252"/>
      <c r="I65" s="252"/>
      <c r="J65" s="252"/>
      <c r="K65" s="252"/>
      <c r="L65" s="252"/>
      <c r="M65" s="252"/>
      <c r="N65" s="252"/>
      <c r="O65" s="252"/>
      <c r="P65" s="252"/>
      <c r="Q65" s="252"/>
      <c r="R65" s="252"/>
      <c r="S65" s="252"/>
      <c r="T65" s="252"/>
      <c r="U65" s="252"/>
      <c r="V65" s="252"/>
      <c r="W65" s="252"/>
      <c r="X65" s="252"/>
      <c r="Y65" s="252"/>
      <c r="Z65" s="252"/>
      <c r="AA65" s="252"/>
      <c r="AB65" s="252"/>
      <c r="AC65" s="252"/>
      <c r="AD65" s="252"/>
      <c r="AE65" s="252"/>
      <c r="AF65" s="252"/>
      <c r="AG65" s="252"/>
      <c r="AH65" s="252"/>
    </row>
    <row r="66" spans="1:34" x14ac:dyDescent="0.2">
      <c r="A66" s="252"/>
      <c r="B66" s="252"/>
      <c r="C66" s="252"/>
      <c r="D66" s="252"/>
      <c r="E66" s="252"/>
      <c r="F66" s="252"/>
      <c r="G66" s="252"/>
      <c r="H66" s="252"/>
      <c r="I66" s="252"/>
      <c r="J66" s="252"/>
      <c r="K66" s="252"/>
      <c r="L66" s="252"/>
      <c r="M66" s="252"/>
      <c r="N66" s="252"/>
      <c r="O66" s="252"/>
      <c r="P66" s="252"/>
      <c r="Q66" s="252"/>
      <c r="R66" s="252"/>
      <c r="S66" s="252"/>
      <c r="T66" s="252"/>
      <c r="U66" s="252"/>
      <c r="V66" s="252"/>
      <c r="W66" s="252"/>
      <c r="X66" s="252"/>
      <c r="Y66" s="252"/>
      <c r="Z66" s="252"/>
      <c r="AA66" s="252"/>
      <c r="AB66" s="252"/>
      <c r="AC66" s="252"/>
      <c r="AD66" s="252"/>
      <c r="AE66" s="252"/>
      <c r="AF66" s="252"/>
      <c r="AG66" s="252"/>
      <c r="AH66" s="252"/>
    </row>
    <row r="67" spans="1:34" x14ac:dyDescent="0.2">
      <c r="A67" s="252"/>
      <c r="B67" s="252"/>
      <c r="C67" s="252"/>
      <c r="D67" s="252"/>
      <c r="E67" s="252"/>
      <c r="F67" s="252"/>
      <c r="G67" s="252"/>
      <c r="H67" s="252"/>
      <c r="I67" s="252"/>
      <c r="J67" s="252"/>
      <c r="K67" s="252"/>
      <c r="L67" s="252"/>
      <c r="M67" s="252"/>
      <c r="N67" s="252"/>
      <c r="O67" s="252"/>
      <c r="P67" s="252"/>
      <c r="Q67" s="252"/>
      <c r="R67" s="252"/>
      <c r="S67" s="252"/>
      <c r="T67" s="252"/>
      <c r="U67" s="252"/>
      <c r="V67" s="252"/>
      <c r="W67" s="252"/>
      <c r="X67" s="252"/>
      <c r="Y67" s="252"/>
      <c r="Z67" s="252"/>
      <c r="AA67" s="252"/>
      <c r="AB67" s="252"/>
      <c r="AC67" s="252"/>
      <c r="AD67" s="252"/>
      <c r="AE67" s="252"/>
      <c r="AF67" s="252"/>
      <c r="AG67" s="252"/>
      <c r="AH67" s="252"/>
    </row>
    <row r="68" spans="1:34" x14ac:dyDescent="0.2">
      <c r="A68" s="252"/>
      <c r="B68" s="252"/>
      <c r="C68" s="252"/>
      <c r="D68" s="252"/>
      <c r="E68" s="252"/>
      <c r="F68" s="252"/>
      <c r="G68" s="252"/>
      <c r="H68" s="252"/>
      <c r="I68" s="252"/>
      <c r="J68" s="252"/>
      <c r="K68" s="252"/>
      <c r="L68" s="252"/>
      <c r="M68" s="252"/>
      <c r="N68" s="252"/>
      <c r="O68" s="252"/>
      <c r="P68" s="252"/>
      <c r="Q68" s="252"/>
      <c r="R68" s="252"/>
      <c r="S68" s="252"/>
      <c r="T68" s="252"/>
      <c r="U68" s="252"/>
      <c r="V68" s="252"/>
      <c r="W68" s="252"/>
      <c r="X68" s="252"/>
      <c r="Y68" s="252"/>
      <c r="Z68" s="252"/>
      <c r="AA68" s="252"/>
      <c r="AB68" s="252"/>
      <c r="AC68" s="252"/>
      <c r="AD68" s="252"/>
      <c r="AE68" s="252"/>
      <c r="AF68" s="252"/>
      <c r="AG68" s="252"/>
      <c r="AH68" s="252"/>
    </row>
    <row r="69" spans="1:34" x14ac:dyDescent="0.2">
      <c r="A69" s="252"/>
      <c r="B69" s="252"/>
      <c r="C69" s="252"/>
      <c r="D69" s="252"/>
      <c r="E69" s="252"/>
      <c r="F69" s="252"/>
      <c r="G69" s="252"/>
      <c r="H69" s="252"/>
      <c r="I69" s="252"/>
      <c r="J69" s="252"/>
      <c r="K69" s="252"/>
      <c r="L69" s="252"/>
      <c r="M69" s="252"/>
      <c r="N69" s="252"/>
      <c r="O69" s="252"/>
      <c r="P69" s="252"/>
      <c r="Q69" s="252"/>
      <c r="R69" s="252"/>
      <c r="S69" s="252"/>
      <c r="T69" s="252"/>
      <c r="U69" s="252"/>
      <c r="V69" s="252"/>
      <c r="W69" s="252"/>
      <c r="X69" s="252"/>
      <c r="Y69" s="252"/>
      <c r="Z69" s="252"/>
      <c r="AA69" s="252"/>
      <c r="AB69" s="252"/>
      <c r="AC69" s="252"/>
      <c r="AD69" s="252"/>
      <c r="AE69" s="252"/>
      <c r="AF69" s="252"/>
      <c r="AG69" s="252"/>
      <c r="AH69" s="252"/>
    </row>
    <row r="70" spans="1:34" x14ac:dyDescent="0.2">
      <c r="A70" s="252"/>
      <c r="B70" s="252"/>
      <c r="C70" s="252"/>
      <c r="D70" s="252"/>
      <c r="E70" s="252"/>
      <c r="F70" s="252"/>
      <c r="G70" s="252"/>
      <c r="H70" s="252"/>
      <c r="I70" s="252"/>
      <c r="J70" s="252"/>
      <c r="K70" s="252"/>
      <c r="L70" s="252"/>
      <c r="M70" s="252"/>
      <c r="N70" s="252"/>
      <c r="O70" s="252"/>
      <c r="P70" s="252"/>
      <c r="Q70" s="252"/>
      <c r="R70" s="252"/>
      <c r="S70" s="252"/>
      <c r="T70" s="252"/>
      <c r="U70" s="252"/>
      <c r="V70" s="252"/>
      <c r="W70" s="252"/>
      <c r="X70" s="252"/>
      <c r="Y70" s="252"/>
      <c r="Z70" s="252"/>
      <c r="AA70" s="252"/>
      <c r="AB70" s="252"/>
      <c r="AC70" s="252"/>
      <c r="AD70" s="252"/>
      <c r="AE70" s="252"/>
      <c r="AF70" s="252"/>
      <c r="AG70" s="252"/>
      <c r="AH70" s="252"/>
    </row>
    <row r="71" spans="1:34" x14ac:dyDescent="0.2">
      <c r="A71" s="252"/>
      <c r="B71" s="252"/>
      <c r="C71" s="252"/>
      <c r="D71" s="252"/>
      <c r="E71" s="252"/>
      <c r="F71" s="252"/>
      <c r="G71" s="252"/>
      <c r="H71" s="252"/>
      <c r="I71" s="252"/>
      <c r="J71" s="252"/>
      <c r="K71" s="252"/>
      <c r="L71" s="252"/>
      <c r="M71" s="252"/>
      <c r="N71" s="252"/>
      <c r="O71" s="252"/>
      <c r="P71" s="252"/>
      <c r="Q71" s="252"/>
      <c r="R71" s="252"/>
      <c r="S71" s="252"/>
      <c r="T71" s="252"/>
      <c r="U71" s="252"/>
      <c r="V71" s="252"/>
      <c r="W71" s="252"/>
      <c r="X71" s="252"/>
      <c r="Y71" s="252"/>
      <c r="Z71" s="252"/>
      <c r="AA71" s="252"/>
      <c r="AB71" s="252"/>
      <c r="AC71" s="252"/>
      <c r="AD71" s="252"/>
      <c r="AE71" s="252"/>
      <c r="AF71" s="252"/>
      <c r="AG71" s="252"/>
      <c r="AH71" s="252"/>
    </row>
    <row r="72" spans="1:34" x14ac:dyDescent="0.2">
      <c r="A72" s="252"/>
      <c r="B72" s="252"/>
      <c r="C72" s="252"/>
      <c r="D72" s="252"/>
      <c r="E72" s="252"/>
      <c r="F72" s="252"/>
      <c r="G72" s="252"/>
      <c r="H72" s="252"/>
      <c r="I72" s="252"/>
      <c r="J72" s="252"/>
      <c r="K72" s="252"/>
      <c r="L72" s="252"/>
      <c r="M72" s="252"/>
      <c r="N72" s="252"/>
      <c r="O72" s="252"/>
      <c r="P72" s="252"/>
      <c r="Q72" s="252"/>
      <c r="R72" s="252"/>
      <c r="S72" s="252"/>
      <c r="T72" s="252"/>
      <c r="U72" s="252"/>
      <c r="V72" s="252"/>
      <c r="W72" s="252"/>
      <c r="X72" s="252"/>
      <c r="Y72" s="252"/>
      <c r="Z72" s="252"/>
      <c r="AA72" s="252"/>
      <c r="AB72" s="252"/>
      <c r="AC72" s="252"/>
      <c r="AD72" s="252"/>
      <c r="AE72" s="252"/>
      <c r="AF72" s="252"/>
      <c r="AG72" s="252"/>
      <c r="AH72" s="252"/>
    </row>
    <row r="73" spans="1:34" x14ac:dyDescent="0.2">
      <c r="A73" s="252"/>
      <c r="B73" s="252"/>
      <c r="C73" s="252"/>
      <c r="D73" s="252"/>
      <c r="E73" s="252"/>
      <c r="F73" s="252"/>
      <c r="G73" s="252"/>
      <c r="H73" s="252"/>
      <c r="I73" s="252"/>
      <c r="J73" s="252"/>
      <c r="K73" s="252"/>
      <c r="L73" s="252"/>
      <c r="M73" s="252"/>
      <c r="N73" s="252"/>
      <c r="O73" s="252"/>
      <c r="P73" s="252"/>
      <c r="Q73" s="252"/>
      <c r="R73" s="252"/>
      <c r="S73" s="252"/>
      <c r="T73" s="252"/>
      <c r="U73" s="252"/>
      <c r="V73" s="252"/>
      <c r="W73" s="252"/>
      <c r="X73" s="252"/>
      <c r="Y73" s="252"/>
      <c r="Z73" s="252"/>
      <c r="AA73" s="252"/>
      <c r="AB73" s="252"/>
      <c r="AC73" s="252"/>
      <c r="AD73" s="252"/>
      <c r="AE73" s="252"/>
      <c r="AF73" s="252"/>
      <c r="AG73" s="252"/>
      <c r="AH73" s="252"/>
    </row>
    <row r="74" spans="1:34" x14ac:dyDescent="0.2">
      <c r="A74" s="252"/>
      <c r="B74" s="252"/>
      <c r="C74" s="252"/>
      <c r="D74" s="252"/>
      <c r="E74" s="252"/>
      <c r="F74" s="252"/>
      <c r="G74" s="252"/>
      <c r="H74" s="252"/>
      <c r="I74" s="252"/>
      <c r="J74" s="252"/>
      <c r="K74" s="252"/>
      <c r="L74" s="252"/>
      <c r="M74" s="252"/>
      <c r="N74" s="252"/>
      <c r="O74" s="252"/>
      <c r="P74" s="252"/>
      <c r="Q74" s="252"/>
      <c r="R74" s="252"/>
      <c r="S74" s="252"/>
      <c r="T74" s="252"/>
      <c r="U74" s="252"/>
      <c r="V74" s="252"/>
      <c r="W74" s="252"/>
      <c r="X74" s="252"/>
      <c r="Y74" s="252"/>
      <c r="Z74" s="252"/>
      <c r="AA74" s="252"/>
      <c r="AB74" s="252"/>
      <c r="AC74" s="252"/>
      <c r="AD74" s="252"/>
      <c r="AE74" s="252"/>
      <c r="AF74" s="252"/>
      <c r="AG74" s="252"/>
      <c r="AH74" s="252"/>
    </row>
    <row r="75" spans="1:34" x14ac:dyDescent="0.2">
      <c r="A75" s="252"/>
      <c r="B75" s="252"/>
      <c r="C75" s="252"/>
      <c r="D75" s="252"/>
      <c r="E75" s="252"/>
      <c r="F75" s="252"/>
      <c r="G75" s="252"/>
      <c r="H75" s="252"/>
      <c r="I75" s="252"/>
      <c r="J75" s="252"/>
      <c r="K75" s="252"/>
      <c r="L75" s="252"/>
      <c r="M75" s="252"/>
      <c r="N75" s="252"/>
      <c r="O75" s="252"/>
      <c r="P75" s="252"/>
      <c r="Q75" s="252"/>
      <c r="R75" s="252"/>
      <c r="S75" s="252"/>
      <c r="T75" s="252"/>
      <c r="U75" s="252"/>
      <c r="V75" s="252"/>
      <c r="W75" s="252"/>
      <c r="X75" s="252"/>
      <c r="Y75" s="252"/>
      <c r="Z75" s="252"/>
      <c r="AA75" s="252"/>
      <c r="AB75" s="252"/>
      <c r="AC75" s="252"/>
      <c r="AD75" s="252"/>
      <c r="AE75" s="252"/>
      <c r="AF75" s="252"/>
      <c r="AG75" s="252"/>
      <c r="AH75" s="252"/>
    </row>
    <row r="76" spans="1:34" x14ac:dyDescent="0.2">
      <c r="A76" s="252"/>
      <c r="B76" s="252"/>
      <c r="C76" s="252"/>
      <c r="D76" s="252"/>
      <c r="E76" s="252"/>
      <c r="F76" s="252"/>
      <c r="G76" s="252"/>
      <c r="H76" s="252"/>
      <c r="I76" s="252"/>
      <c r="J76" s="252"/>
      <c r="K76" s="252"/>
      <c r="L76" s="252"/>
      <c r="M76" s="252"/>
      <c r="N76" s="252"/>
      <c r="O76" s="252"/>
      <c r="P76" s="252"/>
      <c r="Q76" s="252"/>
      <c r="R76" s="252"/>
      <c r="S76" s="252"/>
      <c r="T76" s="252"/>
      <c r="U76" s="252"/>
      <c r="V76" s="252"/>
      <c r="W76" s="252"/>
      <c r="X76" s="252"/>
      <c r="Y76" s="252"/>
      <c r="Z76" s="252"/>
      <c r="AA76" s="252"/>
      <c r="AB76" s="252"/>
      <c r="AC76" s="252"/>
      <c r="AD76" s="252"/>
      <c r="AE76" s="252"/>
      <c r="AF76" s="252"/>
      <c r="AG76" s="252"/>
      <c r="AH76" s="252"/>
    </row>
    <row r="77" spans="1:34" x14ac:dyDescent="0.2">
      <c r="A77" s="252"/>
      <c r="B77" s="252"/>
      <c r="C77" s="252"/>
      <c r="D77" s="252"/>
      <c r="E77" s="252"/>
      <c r="F77" s="252"/>
      <c r="G77" s="252"/>
      <c r="H77" s="252"/>
      <c r="I77" s="252"/>
      <c r="J77" s="252"/>
      <c r="K77" s="252"/>
      <c r="L77" s="252"/>
      <c r="M77" s="252"/>
      <c r="N77" s="252"/>
      <c r="O77" s="252"/>
      <c r="P77" s="252"/>
      <c r="Q77" s="252"/>
      <c r="R77" s="252"/>
      <c r="S77" s="252"/>
      <c r="T77" s="252"/>
      <c r="U77" s="252"/>
      <c r="V77" s="252"/>
      <c r="W77" s="252"/>
      <c r="X77" s="252"/>
      <c r="Y77" s="252"/>
      <c r="Z77" s="252"/>
      <c r="AA77" s="252"/>
      <c r="AB77" s="252"/>
      <c r="AC77" s="252"/>
      <c r="AD77" s="252"/>
      <c r="AE77" s="252"/>
      <c r="AF77" s="252"/>
      <c r="AG77" s="252"/>
      <c r="AH77" s="252"/>
    </row>
    <row r="78" spans="1:34" x14ac:dyDescent="0.2">
      <c r="A78" s="252"/>
      <c r="B78" s="252"/>
      <c r="C78" s="252"/>
      <c r="D78" s="252"/>
      <c r="E78" s="252"/>
      <c r="F78" s="252"/>
      <c r="G78" s="252"/>
      <c r="H78" s="252"/>
      <c r="I78" s="252"/>
      <c r="J78" s="252"/>
      <c r="K78" s="252"/>
      <c r="L78" s="252"/>
      <c r="M78" s="252"/>
      <c r="N78" s="252"/>
      <c r="O78" s="252"/>
      <c r="P78" s="252"/>
      <c r="Q78" s="252"/>
      <c r="R78" s="252"/>
      <c r="S78" s="252"/>
      <c r="T78" s="252"/>
      <c r="U78" s="252"/>
      <c r="V78" s="252"/>
      <c r="W78" s="252"/>
      <c r="X78" s="252"/>
      <c r="Y78" s="252"/>
      <c r="Z78" s="252"/>
      <c r="AA78" s="252"/>
      <c r="AB78" s="252"/>
      <c r="AC78" s="252"/>
      <c r="AD78" s="252"/>
      <c r="AE78" s="252"/>
      <c r="AF78" s="252"/>
      <c r="AG78" s="252"/>
      <c r="AH78" s="252"/>
    </row>
    <row r="79" spans="1:34" x14ac:dyDescent="0.2">
      <c r="A79" s="252"/>
      <c r="B79" s="252"/>
      <c r="C79" s="252"/>
      <c r="D79" s="252"/>
      <c r="E79" s="252"/>
      <c r="F79" s="252"/>
      <c r="G79" s="252"/>
      <c r="H79" s="252"/>
      <c r="I79" s="252"/>
      <c r="J79" s="252"/>
      <c r="K79" s="252"/>
      <c r="L79" s="252"/>
      <c r="M79" s="252"/>
      <c r="N79" s="252"/>
      <c r="O79" s="252"/>
      <c r="P79" s="252"/>
      <c r="Q79" s="252"/>
      <c r="R79" s="252"/>
      <c r="S79" s="252"/>
      <c r="T79" s="252"/>
      <c r="U79" s="252"/>
      <c r="V79" s="252"/>
      <c r="W79" s="252"/>
      <c r="X79" s="252"/>
      <c r="Y79" s="252"/>
      <c r="Z79" s="252"/>
      <c r="AA79" s="252"/>
      <c r="AB79" s="252"/>
      <c r="AC79" s="252"/>
      <c r="AD79" s="252"/>
      <c r="AE79" s="252"/>
      <c r="AF79" s="252"/>
      <c r="AG79" s="252"/>
      <c r="AH79" s="252"/>
    </row>
    <row r="80" spans="1:34" x14ac:dyDescent="0.2">
      <c r="A80" s="252"/>
      <c r="B80" s="252"/>
      <c r="C80" s="252"/>
      <c r="D80" s="252"/>
      <c r="E80" s="252"/>
      <c r="F80" s="252"/>
      <c r="G80" s="252"/>
      <c r="H80" s="252"/>
      <c r="I80" s="252"/>
      <c r="J80" s="252"/>
      <c r="K80" s="252"/>
      <c r="L80" s="252"/>
      <c r="M80" s="252"/>
      <c r="N80" s="252"/>
      <c r="O80" s="252"/>
      <c r="P80" s="252"/>
      <c r="Q80" s="252"/>
      <c r="R80" s="252"/>
      <c r="S80" s="252"/>
      <c r="T80" s="252"/>
      <c r="U80" s="252"/>
      <c r="V80" s="252"/>
      <c r="W80" s="252"/>
      <c r="X80" s="252"/>
      <c r="Y80" s="252"/>
      <c r="Z80" s="252"/>
      <c r="AA80" s="252"/>
      <c r="AB80" s="252"/>
      <c r="AC80" s="252"/>
      <c r="AD80" s="252"/>
      <c r="AE80" s="252"/>
      <c r="AF80" s="252"/>
      <c r="AG80" s="252"/>
      <c r="AH80" s="252"/>
    </row>
    <row r="81" spans="1:34" x14ac:dyDescent="0.2">
      <c r="A81" s="252"/>
      <c r="B81" s="252"/>
      <c r="C81" s="252"/>
      <c r="D81" s="252"/>
      <c r="E81" s="252"/>
      <c r="F81" s="252"/>
      <c r="G81" s="252"/>
      <c r="H81" s="252"/>
      <c r="I81" s="252"/>
      <c r="J81" s="252"/>
      <c r="K81" s="252"/>
      <c r="L81" s="252"/>
      <c r="M81" s="252"/>
      <c r="N81" s="252"/>
      <c r="O81" s="252"/>
      <c r="P81" s="252"/>
      <c r="Q81" s="252"/>
      <c r="R81" s="252"/>
      <c r="S81" s="252"/>
      <c r="T81" s="252"/>
      <c r="U81" s="252"/>
      <c r="V81" s="252"/>
      <c r="W81" s="252"/>
      <c r="X81" s="252"/>
      <c r="Y81" s="252"/>
      <c r="Z81" s="252"/>
      <c r="AA81" s="252"/>
      <c r="AB81" s="252"/>
      <c r="AC81" s="252"/>
      <c r="AD81" s="252"/>
      <c r="AE81" s="252"/>
      <c r="AF81" s="252"/>
      <c r="AG81" s="252"/>
      <c r="AH81" s="252"/>
    </row>
    <row r="82" spans="1:34" x14ac:dyDescent="0.2">
      <c r="A82" s="252"/>
      <c r="B82" s="252"/>
      <c r="C82" s="252"/>
      <c r="D82" s="252"/>
      <c r="E82" s="252"/>
      <c r="F82" s="252"/>
      <c r="G82" s="252"/>
      <c r="H82" s="252"/>
      <c r="I82" s="252"/>
      <c r="J82" s="252"/>
      <c r="K82" s="252"/>
      <c r="L82" s="252"/>
      <c r="M82" s="252"/>
      <c r="N82" s="252"/>
      <c r="O82" s="252"/>
      <c r="P82" s="252"/>
      <c r="Q82" s="252"/>
      <c r="R82" s="252"/>
      <c r="S82" s="252"/>
      <c r="T82" s="252"/>
      <c r="U82" s="252"/>
      <c r="V82" s="252"/>
      <c r="W82" s="252"/>
      <c r="X82" s="252"/>
      <c r="Y82" s="252"/>
      <c r="Z82" s="252"/>
      <c r="AA82" s="252"/>
      <c r="AB82" s="252"/>
      <c r="AC82" s="252"/>
      <c r="AD82" s="252"/>
      <c r="AE82" s="252"/>
      <c r="AF82" s="252"/>
      <c r="AG82" s="252"/>
      <c r="AH82" s="252"/>
    </row>
    <row r="83" spans="1:34" x14ac:dyDescent="0.2">
      <c r="A83" s="252"/>
      <c r="B83" s="252"/>
      <c r="C83" s="252"/>
      <c r="D83" s="252"/>
      <c r="E83" s="252"/>
      <c r="F83" s="252"/>
      <c r="G83" s="252"/>
      <c r="H83" s="252"/>
      <c r="I83" s="252"/>
      <c r="J83" s="252"/>
      <c r="K83" s="252"/>
      <c r="L83" s="252"/>
      <c r="M83" s="252"/>
      <c r="N83" s="252"/>
      <c r="O83" s="252"/>
      <c r="P83" s="252"/>
      <c r="Q83" s="252"/>
      <c r="R83" s="252"/>
      <c r="S83" s="252"/>
      <c r="T83" s="252"/>
      <c r="U83" s="252"/>
      <c r="V83" s="252"/>
      <c r="W83" s="252"/>
      <c r="X83" s="252"/>
      <c r="Y83" s="252"/>
      <c r="Z83" s="252"/>
      <c r="AA83" s="252"/>
      <c r="AB83" s="252"/>
      <c r="AC83" s="252"/>
      <c r="AD83" s="252"/>
      <c r="AE83" s="252"/>
      <c r="AF83" s="252"/>
      <c r="AG83" s="252"/>
      <c r="AH83" s="252"/>
    </row>
    <row r="84" spans="1:34" x14ac:dyDescent="0.2">
      <c r="A84" s="252"/>
      <c r="B84" s="252"/>
      <c r="C84" s="252"/>
      <c r="D84" s="252"/>
      <c r="E84" s="252"/>
      <c r="F84" s="252"/>
      <c r="G84" s="252"/>
      <c r="H84" s="252"/>
      <c r="I84" s="252"/>
      <c r="J84" s="252"/>
      <c r="K84" s="252"/>
      <c r="L84" s="252"/>
      <c r="M84" s="252"/>
      <c r="N84" s="252"/>
      <c r="O84" s="252"/>
      <c r="P84" s="252"/>
      <c r="Q84" s="252"/>
      <c r="R84" s="252"/>
      <c r="S84" s="252"/>
      <c r="T84" s="252"/>
      <c r="U84" s="252"/>
      <c r="V84" s="252"/>
      <c r="W84" s="252"/>
      <c r="X84" s="252"/>
      <c r="Y84" s="252"/>
      <c r="Z84" s="252"/>
      <c r="AA84" s="252"/>
      <c r="AB84" s="252"/>
      <c r="AC84" s="252"/>
      <c r="AD84" s="252"/>
      <c r="AE84" s="252"/>
      <c r="AF84" s="252"/>
      <c r="AG84" s="252"/>
      <c r="AH84" s="252"/>
    </row>
    <row r="85" spans="1:34" x14ac:dyDescent="0.2">
      <c r="A85" s="252"/>
      <c r="B85" s="252"/>
      <c r="C85" s="252"/>
      <c r="D85" s="252"/>
      <c r="E85" s="252"/>
      <c r="F85" s="252"/>
      <c r="G85" s="252"/>
      <c r="H85" s="252"/>
      <c r="I85" s="252"/>
      <c r="J85" s="252"/>
      <c r="K85" s="252"/>
      <c r="L85" s="252"/>
      <c r="M85" s="252"/>
      <c r="N85" s="252"/>
      <c r="O85" s="252"/>
      <c r="P85" s="252"/>
      <c r="Q85" s="252"/>
      <c r="R85" s="252"/>
      <c r="S85" s="252"/>
      <c r="T85" s="252"/>
      <c r="U85" s="252"/>
      <c r="V85" s="252"/>
      <c r="W85" s="252"/>
      <c r="X85" s="252"/>
      <c r="Y85" s="252"/>
      <c r="Z85" s="252"/>
      <c r="AA85" s="252"/>
      <c r="AB85" s="252"/>
      <c r="AC85" s="252"/>
      <c r="AD85" s="252"/>
      <c r="AE85" s="252"/>
      <c r="AF85" s="252"/>
      <c r="AG85" s="252"/>
      <c r="AH85" s="252"/>
    </row>
    <row r="86" spans="1:34" x14ac:dyDescent="0.2">
      <c r="A86" s="252"/>
      <c r="B86" s="252"/>
      <c r="C86" s="252"/>
      <c r="D86" s="252"/>
      <c r="E86" s="252"/>
      <c r="F86" s="252"/>
      <c r="G86" s="252"/>
      <c r="H86" s="252"/>
      <c r="I86" s="252"/>
      <c r="J86" s="252"/>
      <c r="K86" s="252"/>
      <c r="L86" s="252"/>
      <c r="M86" s="252"/>
      <c r="N86" s="252"/>
      <c r="O86" s="252"/>
      <c r="P86" s="252"/>
      <c r="Q86" s="252"/>
      <c r="R86" s="252"/>
      <c r="S86" s="252"/>
      <c r="T86" s="252"/>
      <c r="U86" s="252"/>
      <c r="V86" s="252"/>
      <c r="W86" s="252"/>
      <c r="X86" s="252"/>
      <c r="Y86" s="252"/>
      <c r="Z86" s="252"/>
      <c r="AA86" s="252"/>
      <c r="AB86" s="252"/>
      <c r="AC86" s="252"/>
      <c r="AD86" s="252"/>
      <c r="AE86" s="252"/>
      <c r="AF86" s="252"/>
      <c r="AG86" s="252"/>
      <c r="AH86" s="252"/>
    </row>
    <row r="87" spans="1:34" x14ac:dyDescent="0.2">
      <c r="A87" s="252"/>
      <c r="B87" s="252"/>
      <c r="C87" s="252"/>
      <c r="D87" s="252"/>
      <c r="E87" s="252"/>
      <c r="F87" s="252"/>
      <c r="G87" s="252"/>
      <c r="H87" s="252"/>
      <c r="I87" s="252"/>
      <c r="J87" s="252"/>
      <c r="K87" s="252"/>
      <c r="L87" s="252"/>
      <c r="M87" s="252"/>
      <c r="N87" s="252"/>
      <c r="O87" s="252"/>
      <c r="P87" s="252"/>
      <c r="Q87" s="252"/>
      <c r="R87" s="252"/>
      <c r="S87" s="252"/>
      <c r="T87" s="252"/>
      <c r="U87" s="252"/>
      <c r="V87" s="252"/>
      <c r="W87" s="252"/>
      <c r="X87" s="252"/>
      <c r="Y87" s="252"/>
      <c r="Z87" s="252"/>
      <c r="AA87" s="252"/>
      <c r="AB87" s="252"/>
      <c r="AC87" s="252"/>
      <c r="AD87" s="252"/>
      <c r="AE87" s="252"/>
      <c r="AF87" s="252"/>
      <c r="AG87" s="252"/>
      <c r="AH87" s="252"/>
    </row>
    <row r="88" spans="1:34" x14ac:dyDescent="0.2">
      <c r="A88" s="252"/>
      <c r="B88" s="252"/>
      <c r="C88" s="252"/>
      <c r="D88" s="252"/>
      <c r="E88" s="252"/>
      <c r="F88" s="252"/>
      <c r="G88" s="252"/>
      <c r="H88" s="252"/>
      <c r="I88" s="252"/>
      <c r="J88" s="252"/>
      <c r="K88" s="252"/>
      <c r="L88" s="252"/>
      <c r="M88" s="252"/>
      <c r="N88" s="252"/>
      <c r="O88" s="252"/>
      <c r="P88" s="252"/>
      <c r="Q88" s="252"/>
      <c r="R88" s="252"/>
      <c r="S88" s="252"/>
      <c r="T88" s="252"/>
      <c r="U88" s="252"/>
      <c r="V88" s="252"/>
      <c r="W88" s="252"/>
      <c r="X88" s="252"/>
      <c r="Y88" s="252"/>
      <c r="Z88" s="252"/>
      <c r="AA88" s="252"/>
      <c r="AB88" s="252"/>
      <c r="AC88" s="252"/>
      <c r="AD88" s="252"/>
      <c r="AE88" s="252"/>
      <c r="AF88" s="252"/>
      <c r="AG88" s="252"/>
      <c r="AH88" s="252"/>
    </row>
    <row r="89" spans="1:34" x14ac:dyDescent="0.2">
      <c r="A89" s="252"/>
      <c r="B89" s="252"/>
      <c r="C89" s="252"/>
      <c r="D89" s="252"/>
      <c r="E89" s="252"/>
      <c r="F89" s="252"/>
      <c r="G89" s="252"/>
      <c r="H89" s="252"/>
      <c r="I89" s="252"/>
      <c r="J89" s="252"/>
      <c r="K89" s="252"/>
      <c r="L89" s="252"/>
      <c r="M89" s="252"/>
      <c r="N89" s="252"/>
      <c r="O89" s="252"/>
      <c r="P89" s="252"/>
      <c r="Q89" s="252"/>
      <c r="R89" s="252"/>
      <c r="S89" s="252"/>
      <c r="T89" s="252"/>
      <c r="U89" s="252"/>
      <c r="V89" s="252"/>
      <c r="W89" s="252"/>
      <c r="X89" s="252"/>
      <c r="Y89" s="252"/>
      <c r="Z89" s="252"/>
      <c r="AA89" s="252"/>
      <c r="AB89" s="252"/>
      <c r="AC89" s="252"/>
      <c r="AD89" s="252"/>
      <c r="AE89" s="252"/>
      <c r="AF89" s="252"/>
      <c r="AG89" s="252"/>
      <c r="AH89" s="252"/>
    </row>
    <row r="90" spans="1:34" x14ac:dyDescent="0.2">
      <c r="A90" s="252"/>
      <c r="B90" s="252"/>
      <c r="C90" s="252"/>
      <c r="D90" s="252"/>
      <c r="E90" s="252"/>
      <c r="F90" s="252"/>
      <c r="G90" s="252"/>
      <c r="H90" s="252"/>
      <c r="I90" s="252"/>
      <c r="J90" s="252"/>
      <c r="K90" s="252"/>
      <c r="L90" s="252"/>
      <c r="M90" s="252"/>
      <c r="N90" s="252"/>
      <c r="O90" s="252"/>
      <c r="P90" s="252"/>
      <c r="Q90" s="252"/>
      <c r="R90" s="252"/>
      <c r="S90" s="252"/>
      <c r="T90" s="252"/>
      <c r="U90" s="252"/>
      <c r="V90" s="252"/>
      <c r="W90" s="252"/>
      <c r="X90" s="252"/>
      <c r="Y90" s="252"/>
      <c r="Z90" s="252"/>
      <c r="AA90" s="252"/>
      <c r="AB90" s="252"/>
      <c r="AC90" s="252"/>
      <c r="AD90" s="252"/>
      <c r="AE90" s="252"/>
      <c r="AF90" s="252"/>
      <c r="AG90" s="252"/>
      <c r="AH90" s="252"/>
    </row>
    <row r="91" spans="1:34" x14ac:dyDescent="0.2">
      <c r="A91" s="252"/>
      <c r="B91" s="252"/>
      <c r="C91" s="252"/>
      <c r="D91" s="252"/>
      <c r="E91" s="252"/>
      <c r="F91" s="252"/>
      <c r="G91" s="252"/>
      <c r="H91" s="252"/>
      <c r="I91" s="252"/>
      <c r="J91" s="252"/>
      <c r="K91" s="252"/>
      <c r="L91" s="252"/>
      <c r="M91" s="252"/>
      <c r="N91" s="252"/>
      <c r="O91" s="252"/>
      <c r="P91" s="252"/>
      <c r="Q91" s="252"/>
      <c r="R91" s="252"/>
      <c r="S91" s="252"/>
      <c r="T91" s="252"/>
      <c r="U91" s="252"/>
      <c r="V91" s="252"/>
      <c r="W91" s="252"/>
      <c r="X91" s="252"/>
      <c r="Y91" s="252"/>
      <c r="Z91" s="252"/>
      <c r="AA91" s="252"/>
      <c r="AB91" s="252"/>
      <c r="AC91" s="252"/>
      <c r="AD91" s="252"/>
      <c r="AE91" s="252"/>
      <c r="AF91" s="252"/>
      <c r="AG91" s="252"/>
      <c r="AH91" s="252"/>
    </row>
    <row r="92" spans="1:34" x14ac:dyDescent="0.2">
      <c r="A92" s="252"/>
      <c r="B92" s="252"/>
      <c r="C92" s="252"/>
      <c r="D92" s="252"/>
      <c r="E92" s="252"/>
      <c r="F92" s="252"/>
      <c r="G92" s="252"/>
      <c r="H92" s="252"/>
      <c r="I92" s="252"/>
      <c r="J92" s="252"/>
      <c r="K92" s="252"/>
      <c r="L92" s="252"/>
      <c r="M92" s="252"/>
      <c r="N92" s="252"/>
      <c r="O92" s="252"/>
      <c r="P92" s="252"/>
      <c r="Q92" s="252"/>
      <c r="R92" s="252"/>
      <c r="S92" s="252"/>
      <c r="T92" s="252"/>
      <c r="U92" s="252"/>
      <c r="V92" s="252"/>
      <c r="W92" s="252"/>
      <c r="X92" s="252"/>
      <c r="Y92" s="252"/>
      <c r="Z92" s="252"/>
      <c r="AA92" s="252"/>
      <c r="AB92" s="252"/>
      <c r="AC92" s="252"/>
      <c r="AD92" s="252"/>
      <c r="AE92" s="252"/>
      <c r="AF92" s="252"/>
      <c r="AG92" s="252"/>
      <c r="AH92" s="252"/>
    </row>
    <row r="93" spans="1:34" x14ac:dyDescent="0.2">
      <c r="A93" s="252"/>
      <c r="B93" s="252"/>
      <c r="C93" s="252"/>
      <c r="D93" s="252"/>
      <c r="E93" s="252"/>
      <c r="F93" s="252"/>
      <c r="G93" s="252"/>
      <c r="H93" s="252"/>
      <c r="I93" s="252"/>
      <c r="J93" s="252"/>
      <c r="K93" s="252"/>
      <c r="L93" s="252"/>
      <c r="M93" s="252"/>
      <c r="N93" s="252"/>
      <c r="O93" s="252"/>
      <c r="P93" s="252"/>
      <c r="Q93" s="252"/>
      <c r="R93" s="252"/>
      <c r="S93" s="252"/>
      <c r="T93" s="252"/>
      <c r="U93" s="252"/>
      <c r="V93" s="252"/>
      <c r="W93" s="252"/>
      <c r="X93" s="252"/>
      <c r="Y93" s="252"/>
      <c r="Z93" s="252"/>
      <c r="AA93" s="252"/>
      <c r="AB93" s="252"/>
      <c r="AC93" s="252"/>
      <c r="AD93" s="252"/>
      <c r="AE93" s="252"/>
      <c r="AF93" s="252"/>
      <c r="AG93" s="252"/>
      <c r="AH93" s="252"/>
    </row>
    <row r="94" spans="1:34" x14ac:dyDescent="0.2">
      <c r="A94" s="252"/>
      <c r="B94" s="252"/>
      <c r="C94" s="252"/>
      <c r="D94" s="252"/>
      <c r="E94" s="252"/>
      <c r="F94" s="252"/>
      <c r="G94" s="252"/>
      <c r="H94" s="252"/>
      <c r="I94" s="252"/>
      <c r="J94" s="252"/>
      <c r="K94" s="252"/>
      <c r="L94" s="252"/>
      <c r="M94" s="252"/>
      <c r="N94" s="252"/>
      <c r="O94" s="252"/>
      <c r="P94" s="252"/>
      <c r="Q94" s="252"/>
      <c r="R94" s="252"/>
      <c r="S94" s="252"/>
      <c r="T94" s="252"/>
      <c r="U94" s="252"/>
      <c r="V94" s="252"/>
      <c r="W94" s="252"/>
      <c r="X94" s="252"/>
      <c r="Y94" s="252"/>
      <c r="Z94" s="252"/>
      <c r="AA94" s="252"/>
      <c r="AB94" s="252"/>
      <c r="AC94" s="252"/>
      <c r="AD94" s="252"/>
      <c r="AE94" s="252"/>
      <c r="AF94" s="252"/>
      <c r="AG94" s="252"/>
      <c r="AH94" s="252"/>
    </row>
    <row r="95" spans="1:34" x14ac:dyDescent="0.2">
      <c r="A95" s="252"/>
      <c r="B95" s="252"/>
      <c r="C95" s="252"/>
      <c r="D95" s="252"/>
      <c r="E95" s="252"/>
      <c r="F95" s="252"/>
      <c r="G95" s="252"/>
      <c r="H95" s="252"/>
      <c r="I95" s="252"/>
      <c r="J95" s="252"/>
      <c r="K95" s="252"/>
      <c r="L95" s="252"/>
      <c r="M95" s="252"/>
      <c r="N95" s="252"/>
      <c r="O95" s="252"/>
      <c r="P95" s="252"/>
      <c r="Q95" s="252"/>
      <c r="R95" s="252"/>
      <c r="S95" s="252"/>
      <c r="T95" s="252"/>
      <c r="U95" s="252"/>
      <c r="V95" s="252"/>
      <c r="W95" s="252"/>
      <c r="X95" s="252"/>
      <c r="Y95" s="252"/>
      <c r="Z95" s="252"/>
      <c r="AA95" s="252"/>
      <c r="AB95" s="252"/>
      <c r="AC95" s="252"/>
      <c r="AD95" s="252"/>
      <c r="AE95" s="252"/>
      <c r="AF95" s="252"/>
      <c r="AG95" s="252"/>
      <c r="AH95" s="252"/>
    </row>
    <row r="96" spans="1:34" x14ac:dyDescent="0.2">
      <c r="A96" s="252"/>
      <c r="B96" s="252"/>
      <c r="C96" s="252"/>
      <c r="D96" s="252"/>
      <c r="E96" s="252"/>
      <c r="F96" s="252"/>
      <c r="G96" s="252"/>
      <c r="H96" s="252"/>
      <c r="I96" s="252"/>
      <c r="J96" s="252"/>
      <c r="K96" s="252"/>
      <c r="L96" s="252"/>
      <c r="M96" s="252"/>
      <c r="N96" s="252"/>
      <c r="O96" s="252"/>
      <c r="P96" s="252"/>
      <c r="Q96" s="252"/>
      <c r="R96" s="252"/>
      <c r="S96" s="252"/>
      <c r="T96" s="252"/>
      <c r="U96" s="252"/>
      <c r="V96" s="252"/>
      <c r="W96" s="252"/>
      <c r="X96" s="252"/>
      <c r="Y96" s="252"/>
      <c r="Z96" s="252"/>
      <c r="AA96" s="252"/>
      <c r="AB96" s="252"/>
      <c r="AC96" s="252"/>
      <c r="AD96" s="252"/>
      <c r="AE96" s="252"/>
      <c r="AF96" s="252"/>
      <c r="AG96" s="252"/>
      <c r="AH96" s="252"/>
    </row>
    <row r="97" spans="1:34" x14ac:dyDescent="0.2">
      <c r="A97" s="252"/>
      <c r="B97" s="252"/>
      <c r="C97" s="252"/>
      <c r="D97" s="252"/>
      <c r="E97" s="252"/>
      <c r="F97" s="252"/>
      <c r="G97" s="252"/>
      <c r="H97" s="252"/>
      <c r="I97" s="252"/>
      <c r="J97" s="252"/>
      <c r="K97" s="252"/>
      <c r="L97" s="252"/>
      <c r="M97" s="252"/>
      <c r="N97" s="252"/>
      <c r="O97" s="252"/>
      <c r="P97" s="252"/>
      <c r="Q97" s="252"/>
      <c r="R97" s="252"/>
      <c r="S97" s="252"/>
      <c r="T97" s="252"/>
      <c r="U97" s="252"/>
      <c r="V97" s="252"/>
      <c r="W97" s="252"/>
      <c r="X97" s="252"/>
      <c r="Y97" s="252"/>
      <c r="Z97" s="252"/>
      <c r="AA97" s="252"/>
      <c r="AB97" s="252"/>
      <c r="AC97" s="252"/>
      <c r="AD97" s="252"/>
      <c r="AE97" s="252"/>
      <c r="AF97" s="252"/>
      <c r="AG97" s="252"/>
      <c r="AH97" s="252"/>
    </row>
    <row r="98" spans="1:34" x14ac:dyDescent="0.2">
      <c r="A98" s="252"/>
      <c r="B98" s="252"/>
      <c r="C98" s="252"/>
      <c r="D98" s="252"/>
      <c r="E98" s="252"/>
      <c r="F98" s="252"/>
      <c r="G98" s="252"/>
      <c r="H98" s="252"/>
      <c r="I98" s="252"/>
      <c r="J98" s="252"/>
      <c r="K98" s="252"/>
      <c r="L98" s="252"/>
      <c r="M98" s="252"/>
      <c r="N98" s="252"/>
      <c r="O98" s="252"/>
      <c r="P98" s="252"/>
      <c r="Q98" s="252"/>
      <c r="R98" s="252"/>
      <c r="S98" s="252"/>
      <c r="T98" s="252"/>
      <c r="U98" s="252"/>
      <c r="V98" s="252"/>
      <c r="W98" s="252"/>
      <c r="X98" s="252"/>
      <c r="Y98" s="252"/>
      <c r="Z98" s="252"/>
      <c r="AA98" s="252"/>
      <c r="AB98" s="252"/>
      <c r="AC98" s="252"/>
      <c r="AD98" s="252"/>
      <c r="AE98" s="252"/>
      <c r="AF98" s="252"/>
      <c r="AG98" s="252"/>
      <c r="AH98" s="252"/>
    </row>
    <row r="99" spans="1:34" x14ac:dyDescent="0.2">
      <c r="A99" s="252"/>
      <c r="B99" s="252"/>
      <c r="C99" s="252"/>
      <c r="D99" s="252"/>
      <c r="E99" s="252"/>
      <c r="F99" s="252"/>
      <c r="G99" s="252"/>
      <c r="H99" s="252"/>
      <c r="I99" s="252"/>
      <c r="J99" s="252"/>
      <c r="K99" s="252"/>
      <c r="L99" s="252"/>
      <c r="M99" s="252"/>
      <c r="N99" s="252"/>
      <c r="O99" s="252"/>
      <c r="P99" s="252"/>
      <c r="Q99" s="252"/>
      <c r="R99" s="252"/>
      <c r="S99" s="252"/>
      <c r="T99" s="252"/>
      <c r="U99" s="252"/>
      <c r="V99" s="252"/>
      <c r="W99" s="252"/>
      <c r="X99" s="252"/>
      <c r="Y99" s="252"/>
      <c r="Z99" s="252"/>
      <c r="AA99" s="252"/>
      <c r="AB99" s="252"/>
      <c r="AC99" s="252"/>
      <c r="AD99" s="252"/>
      <c r="AE99" s="252"/>
      <c r="AF99" s="252"/>
      <c r="AG99" s="252"/>
      <c r="AH99" s="252"/>
    </row>
    <row r="100" spans="1:34" x14ac:dyDescent="0.2">
      <c r="A100" s="252"/>
      <c r="B100" s="252"/>
      <c r="C100" s="252"/>
      <c r="D100" s="252"/>
      <c r="E100" s="252"/>
      <c r="F100" s="252"/>
      <c r="G100" s="252"/>
      <c r="H100" s="252"/>
      <c r="I100" s="252"/>
      <c r="J100" s="252"/>
      <c r="K100" s="252"/>
      <c r="L100" s="252"/>
      <c r="M100" s="252"/>
      <c r="N100" s="252"/>
      <c r="O100" s="252"/>
      <c r="P100" s="252"/>
      <c r="Q100" s="252"/>
      <c r="R100" s="252"/>
      <c r="S100" s="252"/>
      <c r="T100" s="252"/>
      <c r="U100" s="252"/>
      <c r="V100" s="252"/>
      <c r="W100" s="252"/>
      <c r="X100" s="252"/>
      <c r="Y100" s="252"/>
      <c r="Z100" s="252"/>
      <c r="AA100" s="252"/>
      <c r="AB100" s="252"/>
      <c r="AC100" s="252"/>
      <c r="AD100" s="252"/>
      <c r="AE100" s="252"/>
      <c r="AF100" s="252"/>
      <c r="AG100" s="252"/>
      <c r="AH100" s="252"/>
    </row>
    <row r="101" spans="1:34" x14ac:dyDescent="0.2">
      <c r="A101" s="252"/>
      <c r="B101" s="252"/>
      <c r="C101" s="252"/>
      <c r="D101" s="252"/>
      <c r="E101" s="252"/>
      <c r="F101" s="252"/>
      <c r="G101" s="252"/>
      <c r="H101" s="252"/>
      <c r="I101" s="252"/>
      <c r="J101" s="252"/>
      <c r="K101" s="252"/>
      <c r="L101" s="252"/>
      <c r="M101" s="252"/>
      <c r="N101" s="252"/>
      <c r="O101" s="252"/>
      <c r="P101" s="252"/>
      <c r="Q101" s="252"/>
      <c r="R101" s="252"/>
      <c r="S101" s="252"/>
      <c r="T101" s="252"/>
      <c r="U101" s="252"/>
      <c r="V101" s="252"/>
      <c r="W101" s="252"/>
      <c r="X101" s="252"/>
      <c r="Y101" s="252"/>
      <c r="Z101" s="252"/>
      <c r="AA101" s="252"/>
      <c r="AB101" s="252"/>
      <c r="AC101" s="252"/>
      <c r="AD101" s="252"/>
      <c r="AE101" s="252"/>
      <c r="AF101" s="252"/>
      <c r="AG101" s="252"/>
      <c r="AH101" s="252"/>
    </row>
    <row r="102" spans="1:34" x14ac:dyDescent="0.2">
      <c r="A102" s="252"/>
      <c r="B102" s="252"/>
      <c r="C102" s="252"/>
      <c r="D102" s="252"/>
      <c r="E102" s="252"/>
      <c r="F102" s="252"/>
      <c r="G102" s="252"/>
      <c r="H102" s="252"/>
      <c r="I102" s="252"/>
      <c r="J102" s="252"/>
      <c r="K102" s="252"/>
      <c r="L102" s="252"/>
      <c r="M102" s="252"/>
      <c r="N102" s="252"/>
      <c r="O102" s="252"/>
      <c r="P102" s="252"/>
      <c r="Q102" s="252"/>
      <c r="R102" s="252"/>
      <c r="S102" s="252"/>
      <c r="T102" s="252"/>
      <c r="U102" s="252"/>
      <c r="V102" s="252"/>
      <c r="W102" s="252"/>
      <c r="X102" s="252"/>
      <c r="Y102" s="252"/>
      <c r="Z102" s="252"/>
      <c r="AA102" s="252"/>
      <c r="AB102" s="252"/>
      <c r="AC102" s="252"/>
      <c r="AD102" s="252"/>
      <c r="AE102" s="252"/>
      <c r="AF102" s="252"/>
      <c r="AG102" s="252"/>
      <c r="AH102" s="252"/>
    </row>
    <row r="103" spans="1:34" x14ac:dyDescent="0.2">
      <c r="A103" s="252"/>
      <c r="B103" s="252"/>
      <c r="C103" s="252"/>
      <c r="D103" s="252"/>
      <c r="E103" s="252"/>
      <c r="F103" s="252"/>
      <c r="G103" s="252"/>
      <c r="H103" s="252"/>
      <c r="I103" s="252"/>
      <c r="J103" s="252"/>
      <c r="K103" s="252"/>
      <c r="L103" s="252"/>
      <c r="M103" s="252"/>
      <c r="N103" s="252"/>
      <c r="O103" s="252"/>
      <c r="P103" s="252"/>
      <c r="Q103" s="252"/>
      <c r="R103" s="252"/>
      <c r="S103" s="252"/>
      <c r="T103" s="252"/>
      <c r="U103" s="252"/>
      <c r="V103" s="252"/>
      <c r="W103" s="252"/>
      <c r="X103" s="252"/>
      <c r="Y103" s="252"/>
      <c r="Z103" s="252"/>
      <c r="AA103" s="252"/>
      <c r="AB103" s="252"/>
      <c r="AC103" s="252"/>
      <c r="AD103" s="252"/>
      <c r="AE103" s="252"/>
      <c r="AF103" s="252"/>
      <c r="AG103" s="252"/>
      <c r="AH103" s="252"/>
    </row>
    <row r="104" spans="1:34" x14ac:dyDescent="0.2">
      <c r="A104" s="252"/>
      <c r="B104" s="252"/>
      <c r="C104" s="252"/>
      <c r="D104" s="252"/>
      <c r="E104" s="252"/>
      <c r="F104" s="252"/>
      <c r="G104" s="252"/>
      <c r="H104" s="252"/>
      <c r="I104" s="252"/>
      <c r="J104" s="252"/>
      <c r="K104" s="252"/>
      <c r="L104" s="252"/>
      <c r="M104" s="252"/>
      <c r="N104" s="252"/>
      <c r="O104" s="252"/>
      <c r="P104" s="252"/>
      <c r="Q104" s="252"/>
      <c r="R104" s="252"/>
      <c r="S104" s="252"/>
      <c r="T104" s="252"/>
      <c r="U104" s="252"/>
      <c r="V104" s="252"/>
      <c r="W104" s="252"/>
      <c r="X104" s="252"/>
      <c r="Y104" s="252"/>
      <c r="Z104" s="252"/>
      <c r="AA104" s="252"/>
      <c r="AB104" s="252"/>
      <c r="AC104" s="252"/>
      <c r="AD104" s="252"/>
      <c r="AE104" s="252"/>
      <c r="AF104" s="252"/>
      <c r="AG104" s="252"/>
      <c r="AH104" s="252"/>
    </row>
    <row r="105" spans="1:34" x14ac:dyDescent="0.2">
      <c r="A105" s="252"/>
      <c r="B105" s="252"/>
      <c r="C105" s="252"/>
      <c r="D105" s="252"/>
      <c r="E105" s="252"/>
      <c r="F105" s="252"/>
      <c r="G105" s="252"/>
      <c r="H105" s="252"/>
      <c r="I105" s="252"/>
      <c r="J105" s="252"/>
      <c r="K105" s="252"/>
      <c r="L105" s="252"/>
      <c r="M105" s="252"/>
      <c r="N105" s="252"/>
      <c r="O105" s="252"/>
      <c r="P105" s="252"/>
      <c r="Q105" s="252"/>
      <c r="R105" s="252"/>
      <c r="S105" s="252"/>
      <c r="T105" s="252"/>
      <c r="U105" s="252"/>
      <c r="V105" s="252"/>
      <c r="W105" s="252"/>
      <c r="X105" s="252"/>
      <c r="Y105" s="252"/>
      <c r="Z105" s="252"/>
      <c r="AA105" s="252"/>
      <c r="AB105" s="252"/>
      <c r="AC105" s="252"/>
      <c r="AD105" s="252"/>
      <c r="AE105" s="252"/>
      <c r="AF105" s="252"/>
      <c r="AG105" s="252"/>
      <c r="AH105" s="252"/>
    </row>
    <row r="106" spans="1:34" x14ac:dyDescent="0.2">
      <c r="A106" s="252"/>
      <c r="B106" s="252"/>
      <c r="C106" s="252"/>
      <c r="D106" s="252"/>
      <c r="E106" s="252"/>
      <c r="F106" s="252"/>
      <c r="G106" s="252"/>
      <c r="H106" s="252"/>
      <c r="I106" s="252"/>
      <c r="J106" s="252"/>
      <c r="K106" s="252"/>
      <c r="L106" s="252"/>
      <c r="M106" s="252"/>
      <c r="N106" s="252"/>
      <c r="O106" s="252"/>
      <c r="P106" s="252"/>
      <c r="Q106" s="252"/>
      <c r="R106" s="252"/>
      <c r="S106" s="252"/>
      <c r="T106" s="252"/>
      <c r="U106" s="252"/>
      <c r="V106" s="252"/>
      <c r="W106" s="252"/>
      <c r="X106" s="252"/>
      <c r="Y106" s="252"/>
      <c r="Z106" s="252"/>
      <c r="AA106" s="252"/>
      <c r="AB106" s="252"/>
      <c r="AC106" s="252"/>
      <c r="AD106" s="252"/>
      <c r="AE106" s="252"/>
      <c r="AF106" s="252"/>
      <c r="AG106" s="252"/>
      <c r="AH106" s="252"/>
    </row>
    <row r="107" spans="1:34" x14ac:dyDescent="0.2">
      <c r="A107" s="252"/>
      <c r="B107" s="252"/>
      <c r="C107" s="252"/>
      <c r="D107" s="252"/>
      <c r="E107" s="252"/>
      <c r="F107" s="252"/>
      <c r="G107" s="252"/>
      <c r="H107" s="252"/>
      <c r="I107" s="252"/>
      <c r="J107" s="252"/>
      <c r="K107" s="252"/>
      <c r="L107" s="252"/>
      <c r="M107" s="252"/>
      <c r="N107" s="252"/>
      <c r="O107" s="252"/>
      <c r="P107" s="252"/>
      <c r="Q107" s="252"/>
      <c r="R107" s="252"/>
      <c r="S107" s="252"/>
      <c r="T107" s="252"/>
      <c r="U107" s="252"/>
      <c r="V107" s="252"/>
      <c r="W107" s="252"/>
      <c r="X107" s="252"/>
      <c r="Y107" s="252"/>
      <c r="Z107" s="252"/>
      <c r="AA107" s="252"/>
      <c r="AB107" s="252"/>
      <c r="AC107" s="252"/>
      <c r="AD107" s="252"/>
      <c r="AE107" s="252"/>
      <c r="AF107" s="252"/>
      <c r="AG107" s="252"/>
      <c r="AH107" s="252"/>
    </row>
    <row r="108" spans="1:34" x14ac:dyDescent="0.2">
      <c r="A108" s="252"/>
      <c r="B108" s="252"/>
      <c r="C108" s="252"/>
      <c r="D108" s="252"/>
      <c r="E108" s="252"/>
      <c r="F108" s="252"/>
      <c r="G108" s="252"/>
      <c r="H108" s="252"/>
      <c r="I108" s="252"/>
      <c r="J108" s="252"/>
      <c r="K108" s="252"/>
      <c r="L108" s="252"/>
      <c r="M108" s="252"/>
      <c r="N108" s="252"/>
      <c r="O108" s="252"/>
      <c r="P108" s="252"/>
      <c r="Q108" s="252"/>
      <c r="R108" s="252"/>
      <c r="S108" s="252"/>
      <c r="T108" s="252"/>
      <c r="U108" s="252"/>
      <c r="V108" s="252"/>
      <c r="W108" s="252"/>
      <c r="X108" s="252"/>
      <c r="Y108" s="252"/>
      <c r="Z108" s="252"/>
      <c r="AA108" s="252"/>
      <c r="AB108" s="252"/>
      <c r="AC108" s="252"/>
      <c r="AD108" s="252"/>
      <c r="AE108" s="252"/>
      <c r="AF108" s="252"/>
      <c r="AG108" s="252"/>
      <c r="AH108" s="252"/>
    </row>
    <row r="109" spans="1:34" x14ac:dyDescent="0.2">
      <c r="A109" s="252"/>
      <c r="B109" s="252"/>
      <c r="C109" s="252"/>
      <c r="D109" s="252"/>
      <c r="E109" s="252"/>
      <c r="F109" s="252"/>
      <c r="G109" s="252"/>
      <c r="H109" s="252"/>
      <c r="I109" s="252"/>
      <c r="J109" s="252"/>
      <c r="K109" s="252"/>
      <c r="L109" s="252"/>
      <c r="M109" s="252"/>
      <c r="N109" s="252"/>
      <c r="O109" s="252"/>
      <c r="P109" s="252"/>
      <c r="Q109" s="252"/>
      <c r="R109" s="252"/>
      <c r="S109" s="252"/>
      <c r="T109" s="252"/>
      <c r="U109" s="252"/>
      <c r="V109" s="252"/>
      <c r="W109" s="252"/>
      <c r="X109" s="252"/>
      <c r="Y109" s="252"/>
      <c r="Z109" s="252"/>
      <c r="AA109" s="252"/>
      <c r="AB109" s="252"/>
      <c r="AC109" s="252"/>
      <c r="AD109" s="252"/>
      <c r="AE109" s="252"/>
      <c r="AF109" s="252"/>
      <c r="AG109" s="252"/>
      <c r="AH109" s="252"/>
    </row>
    <row r="110" spans="1:34" x14ac:dyDescent="0.2">
      <c r="A110" s="252"/>
      <c r="B110" s="252"/>
      <c r="C110" s="252"/>
      <c r="D110" s="252"/>
      <c r="E110" s="252"/>
      <c r="F110" s="252"/>
      <c r="G110" s="252"/>
      <c r="H110" s="252"/>
      <c r="I110" s="252"/>
      <c r="J110" s="252"/>
      <c r="K110" s="252"/>
      <c r="L110" s="252"/>
      <c r="M110" s="252"/>
      <c r="N110" s="252"/>
      <c r="O110" s="252"/>
      <c r="P110" s="252"/>
      <c r="Q110" s="252"/>
      <c r="R110" s="252"/>
      <c r="S110" s="252"/>
      <c r="T110" s="252"/>
      <c r="U110" s="252"/>
      <c r="V110" s="252"/>
      <c r="W110" s="252"/>
      <c r="X110" s="252"/>
      <c r="Y110" s="252"/>
      <c r="Z110" s="252"/>
      <c r="AA110" s="252"/>
      <c r="AB110" s="252"/>
      <c r="AC110" s="252"/>
      <c r="AD110" s="252"/>
      <c r="AE110" s="252"/>
      <c r="AF110" s="252"/>
      <c r="AG110" s="252"/>
      <c r="AH110" s="252"/>
    </row>
    <row r="111" spans="1:34" x14ac:dyDescent="0.2">
      <c r="A111" s="252"/>
      <c r="B111" s="252"/>
      <c r="C111" s="252"/>
      <c r="D111" s="252"/>
      <c r="E111" s="252"/>
      <c r="F111" s="252"/>
      <c r="G111" s="252"/>
      <c r="H111" s="252"/>
      <c r="I111" s="252"/>
      <c r="J111" s="252"/>
      <c r="K111" s="252"/>
      <c r="L111" s="252"/>
      <c r="M111" s="252"/>
      <c r="N111" s="252"/>
      <c r="O111" s="252"/>
      <c r="P111" s="252"/>
      <c r="Q111" s="252"/>
      <c r="R111" s="252"/>
      <c r="S111" s="252"/>
      <c r="T111" s="252"/>
      <c r="U111" s="252"/>
      <c r="V111" s="252"/>
      <c r="W111" s="252"/>
      <c r="X111" s="252"/>
      <c r="Y111" s="252"/>
      <c r="Z111" s="252"/>
      <c r="AA111" s="252"/>
      <c r="AB111" s="252"/>
      <c r="AC111" s="252"/>
      <c r="AD111" s="252"/>
      <c r="AE111" s="252"/>
      <c r="AF111" s="252"/>
      <c r="AG111" s="252"/>
      <c r="AH111" s="252"/>
    </row>
    <row r="112" spans="1:34" x14ac:dyDescent="0.2">
      <c r="A112" s="252"/>
      <c r="B112" s="252"/>
      <c r="C112" s="252"/>
      <c r="D112" s="252"/>
      <c r="E112" s="252"/>
      <c r="F112" s="252"/>
      <c r="G112" s="252"/>
      <c r="H112" s="252"/>
      <c r="I112" s="252"/>
      <c r="J112" s="252"/>
      <c r="K112" s="252"/>
      <c r="L112" s="252"/>
      <c r="M112" s="252"/>
      <c r="N112" s="252"/>
      <c r="O112" s="252"/>
      <c r="P112" s="252"/>
      <c r="Q112" s="252"/>
      <c r="R112" s="252"/>
      <c r="S112" s="252"/>
      <c r="T112" s="252"/>
      <c r="U112" s="252"/>
      <c r="V112" s="252"/>
      <c r="W112" s="252"/>
      <c r="X112" s="252"/>
      <c r="Y112" s="252"/>
      <c r="Z112" s="252"/>
      <c r="AA112" s="252"/>
      <c r="AB112" s="252"/>
      <c r="AC112" s="252"/>
      <c r="AD112" s="252"/>
      <c r="AE112" s="252"/>
      <c r="AF112" s="252"/>
      <c r="AG112" s="252"/>
      <c r="AH112" s="252"/>
    </row>
    <row r="113" spans="1:34" x14ac:dyDescent="0.2">
      <c r="A113" s="252"/>
      <c r="B113" s="252"/>
      <c r="C113" s="252"/>
      <c r="D113" s="252"/>
      <c r="E113" s="252"/>
      <c r="F113" s="252"/>
      <c r="G113" s="252"/>
      <c r="H113" s="252"/>
      <c r="I113" s="252"/>
      <c r="J113" s="252"/>
      <c r="K113" s="252"/>
      <c r="L113" s="252"/>
      <c r="M113" s="252"/>
      <c r="N113" s="252"/>
      <c r="O113" s="252"/>
      <c r="P113" s="252"/>
      <c r="Q113" s="252"/>
      <c r="R113" s="252"/>
      <c r="S113" s="252"/>
      <c r="T113" s="252"/>
      <c r="U113" s="252"/>
      <c r="V113" s="252"/>
      <c r="W113" s="252"/>
      <c r="X113" s="252"/>
      <c r="Y113" s="252"/>
      <c r="Z113" s="252"/>
      <c r="AA113" s="252"/>
      <c r="AB113" s="252"/>
      <c r="AC113" s="252"/>
      <c r="AD113" s="252"/>
      <c r="AE113" s="252"/>
      <c r="AF113" s="252"/>
      <c r="AG113" s="252"/>
      <c r="AH113" s="252"/>
    </row>
    <row r="114" spans="1:34" x14ac:dyDescent="0.2">
      <c r="A114" s="252"/>
      <c r="B114" s="252"/>
      <c r="C114" s="252"/>
      <c r="D114" s="252"/>
      <c r="E114" s="252"/>
      <c r="F114" s="252"/>
      <c r="G114" s="252"/>
      <c r="H114" s="252"/>
      <c r="I114" s="252"/>
      <c r="J114" s="252"/>
      <c r="K114" s="252"/>
      <c r="L114" s="252"/>
      <c r="M114" s="252"/>
      <c r="N114" s="252"/>
      <c r="O114" s="252"/>
      <c r="P114" s="252"/>
      <c r="Q114" s="252"/>
      <c r="R114" s="252"/>
      <c r="S114" s="252"/>
      <c r="T114" s="252"/>
      <c r="U114" s="252"/>
      <c r="V114" s="252"/>
      <c r="W114" s="252"/>
      <c r="X114" s="252"/>
      <c r="Y114" s="252"/>
      <c r="Z114" s="252"/>
      <c r="AA114" s="252"/>
      <c r="AB114" s="252"/>
      <c r="AC114" s="252"/>
      <c r="AD114" s="252"/>
      <c r="AE114" s="252"/>
      <c r="AF114" s="252"/>
      <c r="AG114" s="252"/>
      <c r="AH114" s="252"/>
    </row>
    <row r="115" spans="1:34" x14ac:dyDescent="0.2">
      <c r="A115" s="252"/>
      <c r="B115" s="252"/>
      <c r="C115" s="252"/>
      <c r="D115" s="252"/>
      <c r="E115" s="252"/>
      <c r="F115" s="252"/>
      <c r="G115" s="252"/>
      <c r="H115" s="252"/>
      <c r="I115" s="252"/>
      <c r="J115" s="252"/>
      <c r="K115" s="252"/>
      <c r="L115" s="252"/>
      <c r="M115" s="252"/>
      <c r="N115" s="252"/>
      <c r="O115" s="252"/>
      <c r="P115" s="252"/>
      <c r="Q115" s="252"/>
      <c r="R115" s="252"/>
      <c r="S115" s="252"/>
      <c r="T115" s="252"/>
      <c r="U115" s="252"/>
      <c r="V115" s="252"/>
      <c r="W115" s="252"/>
      <c r="X115" s="252"/>
      <c r="Y115" s="252"/>
      <c r="Z115" s="252"/>
      <c r="AA115" s="252"/>
      <c r="AB115" s="252"/>
      <c r="AC115" s="252"/>
      <c r="AD115" s="252"/>
      <c r="AE115" s="252"/>
      <c r="AF115" s="252"/>
      <c r="AG115" s="252"/>
      <c r="AH115" s="252"/>
    </row>
    <row r="116" spans="1:34" x14ac:dyDescent="0.2">
      <c r="A116" s="252"/>
      <c r="B116" s="252"/>
      <c r="C116" s="252"/>
      <c r="D116" s="252"/>
      <c r="E116" s="252"/>
      <c r="F116" s="252"/>
      <c r="G116" s="252"/>
      <c r="H116" s="252"/>
      <c r="I116" s="252"/>
      <c r="J116" s="252"/>
      <c r="K116" s="252"/>
      <c r="L116" s="252"/>
      <c r="M116" s="252"/>
      <c r="N116" s="252"/>
      <c r="O116" s="252"/>
      <c r="P116" s="252"/>
      <c r="Q116" s="252"/>
      <c r="R116" s="252"/>
      <c r="S116" s="252"/>
      <c r="T116" s="252"/>
      <c r="U116" s="252"/>
      <c r="V116" s="252"/>
      <c r="W116" s="252"/>
      <c r="X116" s="252"/>
      <c r="Y116" s="252"/>
      <c r="Z116" s="252"/>
      <c r="AA116" s="252"/>
      <c r="AB116" s="252"/>
      <c r="AC116" s="252"/>
      <c r="AD116" s="252"/>
      <c r="AE116" s="252"/>
      <c r="AF116" s="252"/>
      <c r="AG116" s="252"/>
      <c r="AH116" s="252"/>
    </row>
    <row r="117" spans="1:34" x14ac:dyDescent="0.2">
      <c r="A117" s="252"/>
      <c r="B117" s="252"/>
      <c r="C117" s="252"/>
      <c r="D117" s="252"/>
      <c r="E117" s="252"/>
      <c r="F117" s="252"/>
      <c r="G117" s="252"/>
      <c r="H117" s="252"/>
      <c r="I117" s="252"/>
      <c r="J117" s="252"/>
      <c r="K117" s="252"/>
      <c r="L117" s="252"/>
      <c r="M117" s="252"/>
      <c r="N117" s="252"/>
      <c r="O117" s="252"/>
      <c r="P117" s="252"/>
      <c r="Q117" s="252"/>
      <c r="R117" s="252"/>
      <c r="S117" s="252"/>
      <c r="T117" s="252"/>
      <c r="U117" s="252"/>
      <c r="V117" s="252"/>
      <c r="W117" s="252"/>
      <c r="X117" s="252"/>
      <c r="Y117" s="252"/>
      <c r="Z117" s="252"/>
      <c r="AA117" s="252"/>
      <c r="AB117" s="252"/>
      <c r="AC117" s="252"/>
      <c r="AD117" s="252"/>
      <c r="AE117" s="252"/>
      <c r="AF117" s="252"/>
      <c r="AG117" s="252"/>
      <c r="AH117" s="252"/>
    </row>
    <row r="118" spans="1:34" x14ac:dyDescent="0.2">
      <c r="A118" s="252"/>
      <c r="B118" s="252"/>
      <c r="C118" s="252"/>
      <c r="D118" s="252"/>
      <c r="E118" s="252"/>
      <c r="F118" s="252"/>
      <c r="G118" s="252"/>
      <c r="H118" s="252"/>
      <c r="I118" s="252"/>
      <c r="J118" s="252"/>
      <c r="K118" s="252"/>
      <c r="L118" s="252"/>
      <c r="M118" s="252"/>
      <c r="N118" s="252"/>
      <c r="O118" s="252"/>
      <c r="P118" s="252"/>
      <c r="Q118" s="252"/>
      <c r="R118" s="252"/>
      <c r="S118" s="252"/>
      <c r="T118" s="252"/>
      <c r="U118" s="252"/>
      <c r="V118" s="252"/>
      <c r="W118" s="252"/>
      <c r="X118" s="252"/>
      <c r="Y118" s="252"/>
      <c r="Z118" s="252"/>
      <c r="AA118" s="252"/>
      <c r="AB118" s="252"/>
      <c r="AC118" s="252"/>
      <c r="AD118" s="252"/>
      <c r="AE118" s="252"/>
      <c r="AF118" s="252"/>
      <c r="AG118" s="252"/>
      <c r="AH118" s="252"/>
    </row>
    <row r="119" spans="1:34" x14ac:dyDescent="0.2">
      <c r="A119" s="252"/>
      <c r="B119" s="252"/>
      <c r="C119" s="252"/>
      <c r="D119" s="252"/>
      <c r="E119" s="252"/>
      <c r="F119" s="252"/>
      <c r="G119" s="252"/>
      <c r="H119" s="252"/>
      <c r="I119" s="252"/>
      <c r="J119" s="252"/>
      <c r="K119" s="252"/>
      <c r="L119" s="252"/>
      <c r="M119" s="252"/>
      <c r="N119" s="252"/>
      <c r="O119" s="252"/>
      <c r="P119" s="252"/>
      <c r="Q119" s="252"/>
      <c r="R119" s="252"/>
      <c r="S119" s="252"/>
      <c r="T119" s="252"/>
      <c r="U119" s="252"/>
      <c r="V119" s="252"/>
      <c r="W119" s="252"/>
      <c r="X119" s="252"/>
      <c r="Y119" s="252"/>
      <c r="Z119" s="252"/>
      <c r="AA119" s="252"/>
      <c r="AB119" s="252"/>
      <c r="AC119" s="252"/>
      <c r="AD119" s="252"/>
      <c r="AE119" s="252"/>
      <c r="AF119" s="252"/>
      <c r="AG119" s="252"/>
      <c r="AH119" s="252"/>
    </row>
    <row r="120" spans="1:34" x14ac:dyDescent="0.2">
      <c r="A120" s="252"/>
      <c r="B120" s="252"/>
      <c r="C120" s="252"/>
      <c r="D120" s="252"/>
      <c r="E120" s="252"/>
      <c r="F120" s="252"/>
      <c r="G120" s="252"/>
      <c r="H120" s="252"/>
      <c r="I120" s="252"/>
      <c r="J120" s="252"/>
      <c r="K120" s="252"/>
      <c r="L120" s="252"/>
      <c r="M120" s="252"/>
      <c r="N120" s="252"/>
      <c r="O120" s="252"/>
      <c r="P120" s="252"/>
      <c r="Q120" s="252"/>
      <c r="R120" s="252"/>
      <c r="S120" s="252"/>
      <c r="T120" s="252"/>
      <c r="U120" s="252"/>
      <c r="V120" s="252"/>
      <c r="W120" s="252"/>
      <c r="X120" s="252"/>
      <c r="Y120" s="252"/>
      <c r="Z120" s="252"/>
      <c r="AA120" s="252"/>
      <c r="AB120" s="252"/>
      <c r="AC120" s="252"/>
      <c r="AD120" s="252"/>
      <c r="AE120" s="252"/>
      <c r="AF120" s="252"/>
      <c r="AG120" s="252"/>
      <c r="AH120" s="252"/>
    </row>
    <row r="121" spans="1:34" x14ac:dyDescent="0.2">
      <c r="A121" s="252"/>
      <c r="B121" s="252"/>
      <c r="C121" s="252"/>
      <c r="D121" s="252"/>
      <c r="E121" s="252"/>
      <c r="F121" s="252"/>
      <c r="G121" s="252"/>
      <c r="H121" s="252"/>
      <c r="I121" s="252"/>
      <c r="J121" s="252"/>
      <c r="K121" s="252"/>
      <c r="L121" s="252"/>
      <c r="M121" s="252"/>
      <c r="N121" s="252"/>
      <c r="O121" s="252"/>
      <c r="P121" s="252"/>
      <c r="Q121" s="252"/>
      <c r="R121" s="252"/>
      <c r="S121" s="252"/>
      <c r="T121" s="252"/>
      <c r="U121" s="252"/>
      <c r="V121" s="252"/>
      <c r="W121" s="252"/>
      <c r="X121" s="252"/>
      <c r="Y121" s="252"/>
      <c r="Z121" s="252"/>
      <c r="AA121" s="252"/>
      <c r="AB121" s="252"/>
      <c r="AC121" s="252"/>
      <c r="AD121" s="252"/>
      <c r="AE121" s="252"/>
      <c r="AF121" s="252"/>
      <c r="AG121" s="252"/>
      <c r="AH121" s="252"/>
    </row>
    <row r="122" spans="1:34" x14ac:dyDescent="0.2">
      <c r="A122" s="252"/>
      <c r="B122" s="252"/>
      <c r="C122" s="252"/>
      <c r="D122" s="252"/>
      <c r="E122" s="252"/>
      <c r="F122" s="252"/>
      <c r="G122" s="252"/>
      <c r="H122" s="252"/>
      <c r="I122" s="252"/>
      <c r="J122" s="252"/>
      <c r="K122" s="252"/>
      <c r="L122" s="252"/>
      <c r="M122" s="252"/>
      <c r="N122" s="252"/>
      <c r="O122" s="252"/>
      <c r="P122" s="252"/>
      <c r="Q122" s="252"/>
      <c r="R122" s="252"/>
      <c r="S122" s="252"/>
      <c r="T122" s="252"/>
      <c r="U122" s="252"/>
      <c r="V122" s="252"/>
      <c r="W122" s="252"/>
      <c r="X122" s="252"/>
      <c r="Y122" s="252"/>
      <c r="Z122" s="252"/>
      <c r="AA122" s="252"/>
      <c r="AB122" s="252"/>
      <c r="AC122" s="252"/>
      <c r="AD122" s="252"/>
      <c r="AE122" s="252"/>
      <c r="AF122" s="252"/>
      <c r="AG122" s="252"/>
      <c r="AH122" s="252"/>
    </row>
    <row r="123" spans="1:34" x14ac:dyDescent="0.2">
      <c r="A123" s="252"/>
      <c r="B123" s="252"/>
      <c r="C123" s="252"/>
      <c r="D123" s="252"/>
      <c r="E123" s="252"/>
      <c r="F123" s="252"/>
      <c r="G123" s="252"/>
      <c r="H123" s="252"/>
      <c r="I123" s="252"/>
      <c r="J123" s="252"/>
      <c r="K123" s="252"/>
      <c r="L123" s="252"/>
      <c r="M123" s="252"/>
      <c r="N123" s="252"/>
      <c r="O123" s="252"/>
      <c r="P123" s="252"/>
      <c r="Q123" s="252"/>
      <c r="R123" s="252"/>
      <c r="S123" s="252"/>
      <c r="T123" s="252"/>
      <c r="U123" s="252"/>
      <c r="V123" s="252"/>
      <c r="W123" s="252"/>
      <c r="X123" s="252"/>
      <c r="Y123" s="252"/>
      <c r="Z123" s="252"/>
      <c r="AA123" s="252"/>
      <c r="AB123" s="252"/>
      <c r="AC123" s="252"/>
      <c r="AD123" s="252"/>
      <c r="AE123" s="252"/>
      <c r="AF123" s="252"/>
      <c r="AG123" s="252"/>
      <c r="AH123" s="252"/>
    </row>
    <row r="124" spans="1:34" x14ac:dyDescent="0.2">
      <c r="A124" s="252"/>
      <c r="B124" s="252"/>
      <c r="C124" s="252"/>
      <c r="D124" s="252"/>
      <c r="E124" s="252"/>
      <c r="F124" s="252"/>
      <c r="G124" s="252"/>
      <c r="H124" s="252"/>
      <c r="I124" s="252"/>
      <c r="J124" s="252"/>
      <c r="K124" s="252"/>
      <c r="L124" s="252"/>
      <c r="M124" s="252"/>
      <c r="N124" s="252"/>
      <c r="O124" s="252"/>
      <c r="P124" s="252"/>
      <c r="Q124" s="252"/>
      <c r="R124" s="252"/>
      <c r="S124" s="252"/>
      <c r="T124" s="252"/>
      <c r="U124" s="252"/>
      <c r="V124" s="252"/>
      <c r="W124" s="252"/>
      <c r="X124" s="252"/>
      <c r="Y124" s="252"/>
      <c r="Z124" s="252"/>
      <c r="AA124" s="252"/>
      <c r="AB124" s="252"/>
      <c r="AC124" s="252"/>
      <c r="AD124" s="252"/>
      <c r="AE124" s="252"/>
      <c r="AF124" s="252"/>
      <c r="AG124" s="252"/>
      <c r="AH124" s="252"/>
    </row>
    <row r="125" spans="1:34" x14ac:dyDescent="0.2">
      <c r="A125" s="252"/>
      <c r="B125" s="252"/>
      <c r="C125" s="252"/>
      <c r="D125" s="252"/>
      <c r="E125" s="252"/>
      <c r="F125" s="252"/>
      <c r="G125" s="252"/>
      <c r="H125" s="252"/>
      <c r="I125" s="252"/>
      <c r="J125" s="252"/>
      <c r="K125" s="252"/>
      <c r="L125" s="252"/>
      <c r="M125" s="252"/>
      <c r="N125" s="252"/>
      <c r="O125" s="252"/>
      <c r="P125" s="252"/>
      <c r="Q125" s="252"/>
      <c r="R125" s="252"/>
      <c r="S125" s="252"/>
      <c r="T125" s="252"/>
      <c r="U125" s="252"/>
      <c r="V125" s="252"/>
      <c r="W125" s="252"/>
      <c r="X125" s="252"/>
      <c r="Y125" s="252"/>
      <c r="Z125" s="252"/>
      <c r="AA125" s="252"/>
      <c r="AB125" s="252"/>
      <c r="AC125" s="252"/>
      <c r="AD125" s="252"/>
      <c r="AE125" s="252"/>
      <c r="AF125" s="252"/>
      <c r="AG125" s="252"/>
      <c r="AH125" s="252"/>
    </row>
    <row r="126" spans="1:34" x14ac:dyDescent="0.2">
      <c r="A126" s="252"/>
      <c r="B126" s="252"/>
      <c r="C126" s="252"/>
      <c r="D126" s="252"/>
      <c r="E126" s="252"/>
      <c r="F126" s="252"/>
      <c r="G126" s="252"/>
      <c r="H126" s="252"/>
      <c r="I126" s="252"/>
      <c r="J126" s="252"/>
      <c r="K126" s="252"/>
      <c r="L126" s="252"/>
      <c r="M126" s="252"/>
      <c r="N126" s="252"/>
      <c r="O126" s="252"/>
      <c r="P126" s="252"/>
      <c r="Q126" s="252"/>
      <c r="R126" s="252"/>
      <c r="S126" s="252"/>
      <c r="T126" s="252"/>
      <c r="U126" s="252"/>
      <c r="V126" s="252"/>
      <c r="W126" s="252"/>
      <c r="X126" s="252"/>
      <c r="Y126" s="252"/>
      <c r="Z126" s="252"/>
      <c r="AA126" s="252"/>
      <c r="AB126" s="252"/>
      <c r="AC126" s="252"/>
      <c r="AD126" s="252"/>
      <c r="AE126" s="252"/>
      <c r="AF126" s="252"/>
      <c r="AG126" s="252"/>
      <c r="AH126" s="252"/>
    </row>
    <row r="127" spans="1:34" x14ac:dyDescent="0.2">
      <c r="A127" s="252"/>
      <c r="B127" s="252"/>
      <c r="C127" s="252"/>
      <c r="D127" s="252"/>
      <c r="E127" s="252"/>
      <c r="F127" s="252"/>
      <c r="G127" s="252"/>
      <c r="H127" s="252"/>
      <c r="I127" s="252"/>
      <c r="J127" s="252"/>
      <c r="K127" s="252"/>
      <c r="L127" s="252"/>
      <c r="M127" s="252"/>
      <c r="N127" s="252"/>
      <c r="O127" s="252"/>
      <c r="P127" s="252"/>
      <c r="Q127" s="252"/>
      <c r="R127" s="252"/>
      <c r="S127" s="252"/>
      <c r="T127" s="252"/>
      <c r="U127" s="252"/>
      <c r="V127" s="252"/>
      <c r="W127" s="252"/>
      <c r="X127" s="252"/>
      <c r="Y127" s="252"/>
      <c r="Z127" s="252"/>
      <c r="AA127" s="252"/>
      <c r="AB127" s="252"/>
      <c r="AC127" s="252"/>
      <c r="AD127" s="252"/>
      <c r="AE127" s="252"/>
      <c r="AF127" s="252"/>
      <c r="AG127" s="252"/>
      <c r="AH127" s="252"/>
    </row>
    <row r="128" spans="1:34" x14ac:dyDescent="0.2">
      <c r="A128" s="252"/>
      <c r="B128" s="252"/>
      <c r="C128" s="252"/>
      <c r="D128" s="252"/>
      <c r="E128" s="252"/>
      <c r="F128" s="252"/>
      <c r="G128" s="252"/>
      <c r="H128" s="252"/>
      <c r="I128" s="252"/>
      <c r="J128" s="252"/>
      <c r="K128" s="252"/>
      <c r="L128" s="252"/>
      <c r="M128" s="252"/>
      <c r="N128" s="252"/>
      <c r="O128" s="252"/>
      <c r="P128" s="252"/>
      <c r="Q128" s="252"/>
      <c r="R128" s="252"/>
      <c r="S128" s="252"/>
      <c r="T128" s="252"/>
      <c r="U128" s="252"/>
      <c r="V128" s="252"/>
      <c r="W128" s="252"/>
      <c r="X128" s="252"/>
      <c r="Y128" s="252"/>
      <c r="Z128" s="252"/>
      <c r="AA128" s="252"/>
      <c r="AB128" s="252"/>
      <c r="AC128" s="252"/>
      <c r="AD128" s="252"/>
      <c r="AE128" s="252"/>
      <c r="AF128" s="252"/>
      <c r="AG128" s="252"/>
      <c r="AH128" s="252"/>
    </row>
    <row r="129" spans="1:34" x14ac:dyDescent="0.2">
      <c r="A129" s="252"/>
      <c r="B129" s="252"/>
      <c r="C129" s="252"/>
      <c r="D129" s="252"/>
      <c r="E129" s="252"/>
      <c r="F129" s="252"/>
      <c r="G129" s="252"/>
      <c r="H129" s="252"/>
      <c r="I129" s="252"/>
      <c r="J129" s="252"/>
      <c r="K129" s="252"/>
      <c r="L129" s="252"/>
      <c r="M129" s="252"/>
      <c r="N129" s="252"/>
      <c r="O129" s="252"/>
      <c r="P129" s="252"/>
      <c r="Q129" s="252"/>
      <c r="R129" s="252"/>
      <c r="S129" s="252"/>
      <c r="T129" s="252"/>
      <c r="U129" s="252"/>
      <c r="V129" s="252"/>
      <c r="W129" s="252"/>
      <c r="X129" s="252"/>
      <c r="Y129" s="252"/>
      <c r="Z129" s="252"/>
      <c r="AA129" s="252"/>
      <c r="AB129" s="252"/>
      <c r="AC129" s="252"/>
      <c r="AD129" s="252"/>
      <c r="AE129" s="252"/>
      <c r="AF129" s="252"/>
      <c r="AG129" s="252"/>
      <c r="AH129" s="252"/>
    </row>
    <row r="130" spans="1:34" x14ac:dyDescent="0.2">
      <c r="A130" s="252"/>
      <c r="B130" s="252"/>
      <c r="C130" s="252"/>
      <c r="D130" s="252"/>
      <c r="E130" s="252"/>
      <c r="F130" s="252"/>
      <c r="G130" s="252"/>
      <c r="H130" s="252"/>
      <c r="I130" s="252"/>
      <c r="J130" s="252"/>
      <c r="K130" s="252"/>
      <c r="L130" s="252"/>
      <c r="M130" s="252"/>
      <c r="N130" s="252"/>
      <c r="O130" s="252"/>
      <c r="P130" s="252"/>
      <c r="Q130" s="252"/>
      <c r="R130" s="252"/>
      <c r="S130" s="252"/>
      <c r="T130" s="252"/>
      <c r="U130" s="252"/>
      <c r="V130" s="252"/>
      <c r="W130" s="252"/>
      <c r="X130" s="252"/>
      <c r="Y130" s="252"/>
      <c r="Z130" s="252"/>
      <c r="AA130" s="252"/>
      <c r="AB130" s="252"/>
      <c r="AC130" s="252"/>
      <c r="AD130" s="252"/>
      <c r="AE130" s="252"/>
      <c r="AF130" s="252"/>
      <c r="AG130" s="252"/>
      <c r="AH130" s="252"/>
    </row>
    <row r="131" spans="1:34" x14ac:dyDescent="0.2">
      <c r="A131" s="252"/>
      <c r="B131" s="252"/>
      <c r="C131" s="252"/>
      <c r="D131" s="252"/>
      <c r="E131" s="252"/>
      <c r="F131" s="252"/>
      <c r="G131" s="252"/>
      <c r="H131" s="252"/>
      <c r="I131" s="252"/>
      <c r="J131" s="252"/>
      <c r="K131" s="252"/>
      <c r="L131" s="252"/>
      <c r="M131" s="252"/>
      <c r="N131" s="252"/>
      <c r="O131" s="252"/>
      <c r="P131" s="252"/>
      <c r="Q131" s="252"/>
      <c r="R131" s="252"/>
      <c r="S131" s="252"/>
      <c r="T131" s="252"/>
      <c r="U131" s="252"/>
      <c r="V131" s="252"/>
      <c r="W131" s="252"/>
      <c r="X131" s="252"/>
      <c r="Y131" s="252"/>
      <c r="Z131" s="252"/>
      <c r="AA131" s="252"/>
      <c r="AB131" s="252"/>
      <c r="AC131" s="252"/>
      <c r="AD131" s="252"/>
      <c r="AE131" s="252"/>
      <c r="AF131" s="252"/>
      <c r="AG131" s="252"/>
      <c r="AH131" s="252"/>
    </row>
    <row r="132" spans="1:34" x14ac:dyDescent="0.2">
      <c r="A132" s="252"/>
      <c r="B132" s="252"/>
      <c r="C132" s="252"/>
      <c r="D132" s="252"/>
      <c r="E132" s="252"/>
      <c r="F132" s="252"/>
      <c r="G132" s="252"/>
      <c r="H132" s="252"/>
      <c r="I132" s="252"/>
      <c r="J132" s="252"/>
      <c r="K132" s="252"/>
      <c r="L132" s="252"/>
      <c r="M132" s="252"/>
      <c r="N132" s="252"/>
      <c r="O132" s="252"/>
      <c r="P132" s="252"/>
      <c r="Q132" s="252"/>
      <c r="R132" s="252"/>
      <c r="S132" s="252"/>
      <c r="T132" s="252"/>
      <c r="U132" s="252"/>
      <c r="V132" s="252"/>
      <c r="W132" s="252"/>
      <c r="X132" s="252"/>
      <c r="Y132" s="252"/>
      <c r="Z132" s="252"/>
      <c r="AA132" s="252"/>
      <c r="AB132" s="252"/>
      <c r="AC132" s="252"/>
      <c r="AD132" s="252"/>
      <c r="AE132" s="252"/>
      <c r="AF132" s="252"/>
      <c r="AG132" s="252"/>
      <c r="AH132" s="252"/>
    </row>
    <row r="133" spans="1:34" x14ac:dyDescent="0.2">
      <c r="A133" s="252"/>
      <c r="B133" s="252"/>
      <c r="C133" s="252"/>
      <c r="D133" s="252"/>
      <c r="E133" s="252"/>
      <c r="F133" s="252"/>
      <c r="G133" s="252"/>
      <c r="H133" s="252"/>
      <c r="I133" s="252"/>
      <c r="J133" s="252"/>
      <c r="K133" s="252"/>
      <c r="L133" s="252"/>
      <c r="M133" s="252"/>
      <c r="N133" s="252"/>
      <c r="O133" s="252"/>
      <c r="P133" s="252"/>
      <c r="Q133" s="252"/>
      <c r="R133" s="252"/>
      <c r="S133" s="252"/>
      <c r="T133" s="252"/>
      <c r="U133" s="252"/>
      <c r="V133" s="252"/>
      <c r="W133" s="252"/>
      <c r="X133" s="252"/>
      <c r="Y133" s="252"/>
      <c r="Z133" s="252"/>
      <c r="AA133" s="252"/>
      <c r="AB133" s="252"/>
      <c r="AC133" s="252"/>
      <c r="AD133" s="252"/>
      <c r="AE133" s="252"/>
      <c r="AF133" s="252"/>
      <c r="AG133" s="252"/>
      <c r="AH133" s="252"/>
    </row>
    <row r="134" spans="1:34" x14ac:dyDescent="0.2">
      <c r="A134" s="252"/>
      <c r="B134" s="252"/>
      <c r="C134" s="252"/>
      <c r="D134" s="252"/>
      <c r="E134" s="252"/>
      <c r="F134" s="252"/>
      <c r="G134" s="252"/>
      <c r="H134" s="252"/>
      <c r="I134" s="252"/>
      <c r="J134" s="252"/>
      <c r="K134" s="252"/>
      <c r="L134" s="252"/>
      <c r="M134" s="252"/>
      <c r="N134" s="252"/>
      <c r="O134" s="252"/>
      <c r="P134" s="252"/>
      <c r="Q134" s="252"/>
      <c r="R134" s="252"/>
      <c r="S134" s="252"/>
      <c r="T134" s="252"/>
      <c r="U134" s="252"/>
      <c r="V134" s="252"/>
      <c r="W134" s="252"/>
      <c r="X134" s="252"/>
      <c r="Y134" s="252"/>
      <c r="Z134" s="252"/>
      <c r="AA134" s="252"/>
      <c r="AB134" s="252"/>
      <c r="AC134" s="252"/>
      <c r="AD134" s="252"/>
      <c r="AE134" s="252"/>
      <c r="AF134" s="252"/>
      <c r="AG134" s="252"/>
      <c r="AH134" s="252"/>
    </row>
    <row r="135" spans="1:34" x14ac:dyDescent="0.2">
      <c r="A135" s="252"/>
      <c r="B135" s="252"/>
      <c r="C135" s="252"/>
      <c r="D135" s="252"/>
      <c r="E135" s="252"/>
      <c r="F135" s="252"/>
      <c r="G135" s="252"/>
      <c r="H135" s="252"/>
      <c r="I135" s="252"/>
      <c r="J135" s="252"/>
      <c r="K135" s="252"/>
      <c r="L135" s="252"/>
      <c r="M135" s="252"/>
      <c r="N135" s="252"/>
      <c r="O135" s="252"/>
      <c r="P135" s="252"/>
      <c r="Q135" s="252"/>
      <c r="R135" s="252"/>
      <c r="S135" s="252"/>
      <c r="T135" s="252"/>
      <c r="U135" s="252"/>
      <c r="V135" s="252"/>
      <c r="W135" s="252"/>
      <c r="X135" s="252"/>
      <c r="Y135" s="252"/>
      <c r="Z135" s="252"/>
      <c r="AA135" s="252"/>
      <c r="AB135" s="252"/>
      <c r="AC135" s="252"/>
      <c r="AD135" s="252"/>
      <c r="AE135" s="252"/>
      <c r="AF135" s="252"/>
      <c r="AG135" s="252"/>
      <c r="AH135" s="252"/>
    </row>
    <row r="136" spans="1:34" x14ac:dyDescent="0.2">
      <c r="A136" s="252"/>
      <c r="B136" s="252"/>
      <c r="C136" s="252"/>
      <c r="D136" s="252"/>
      <c r="E136" s="252"/>
      <c r="F136" s="252"/>
      <c r="G136" s="252"/>
      <c r="H136" s="252"/>
      <c r="I136" s="252"/>
      <c r="J136" s="252"/>
      <c r="K136" s="252"/>
      <c r="L136" s="252"/>
      <c r="M136" s="252"/>
      <c r="N136" s="252"/>
      <c r="O136" s="252"/>
      <c r="P136" s="252"/>
      <c r="Q136" s="252"/>
      <c r="R136" s="252"/>
      <c r="S136" s="252"/>
      <c r="T136" s="252"/>
      <c r="U136" s="252"/>
      <c r="V136" s="252"/>
      <c r="W136" s="252"/>
      <c r="X136" s="252"/>
      <c r="Y136" s="252"/>
      <c r="Z136" s="252"/>
      <c r="AA136" s="252"/>
      <c r="AB136" s="252"/>
      <c r="AC136" s="252"/>
      <c r="AD136" s="252"/>
      <c r="AE136" s="252"/>
      <c r="AF136" s="252"/>
      <c r="AG136" s="252"/>
      <c r="AH136" s="252"/>
    </row>
    <row r="137" spans="1:34" x14ac:dyDescent="0.2">
      <c r="A137" s="252"/>
      <c r="B137" s="252"/>
      <c r="C137" s="252"/>
      <c r="D137" s="252"/>
      <c r="E137" s="252"/>
      <c r="F137" s="252"/>
      <c r="G137" s="252"/>
      <c r="H137" s="252"/>
      <c r="I137" s="252"/>
      <c r="J137" s="252"/>
      <c r="K137" s="252"/>
      <c r="L137" s="252"/>
      <c r="M137" s="252"/>
      <c r="N137" s="252"/>
      <c r="O137" s="252"/>
      <c r="P137" s="252"/>
      <c r="Q137" s="252"/>
      <c r="R137" s="252"/>
      <c r="S137" s="252"/>
      <c r="T137" s="252"/>
      <c r="U137" s="252"/>
      <c r="V137" s="252"/>
      <c r="W137" s="252"/>
      <c r="X137" s="252"/>
      <c r="Y137" s="252"/>
      <c r="Z137" s="252"/>
      <c r="AA137" s="252"/>
      <c r="AB137" s="252"/>
      <c r="AC137" s="252"/>
      <c r="AD137" s="252"/>
      <c r="AE137" s="252"/>
      <c r="AF137" s="252"/>
      <c r="AG137" s="252"/>
      <c r="AH137" s="252"/>
    </row>
    <row r="138" spans="1:34" x14ac:dyDescent="0.2">
      <c r="A138" s="252"/>
      <c r="B138" s="252"/>
      <c r="C138" s="252"/>
      <c r="D138" s="252"/>
      <c r="E138" s="252"/>
      <c r="F138" s="252"/>
      <c r="G138" s="252"/>
      <c r="H138" s="252"/>
      <c r="I138" s="252"/>
      <c r="J138" s="252"/>
      <c r="K138" s="252"/>
      <c r="L138" s="252"/>
      <c r="M138" s="252"/>
      <c r="N138" s="252"/>
      <c r="O138" s="252"/>
      <c r="P138" s="252"/>
      <c r="Q138" s="252"/>
      <c r="R138" s="252"/>
      <c r="S138" s="252"/>
      <c r="T138" s="252"/>
      <c r="U138" s="252"/>
      <c r="V138" s="252"/>
      <c r="W138" s="252"/>
      <c r="X138" s="252"/>
      <c r="Y138" s="252"/>
      <c r="Z138" s="252"/>
      <c r="AA138" s="252"/>
      <c r="AB138" s="252"/>
      <c r="AC138" s="252"/>
      <c r="AD138" s="252"/>
      <c r="AE138" s="252"/>
      <c r="AF138" s="252"/>
      <c r="AG138" s="252"/>
      <c r="AH138" s="252"/>
    </row>
    <row r="139" spans="1:34" x14ac:dyDescent="0.2">
      <c r="A139" s="252"/>
      <c r="B139" s="252"/>
      <c r="C139" s="252"/>
      <c r="D139" s="252"/>
      <c r="E139" s="252"/>
      <c r="F139" s="252"/>
      <c r="G139" s="252"/>
      <c r="H139" s="252"/>
      <c r="I139" s="252"/>
      <c r="J139" s="252"/>
      <c r="K139" s="252"/>
      <c r="L139" s="252"/>
      <c r="M139" s="252"/>
      <c r="N139" s="252"/>
      <c r="O139" s="252"/>
      <c r="P139" s="252"/>
      <c r="Q139" s="252"/>
      <c r="R139" s="252"/>
      <c r="S139" s="252"/>
      <c r="T139" s="252"/>
      <c r="U139" s="252"/>
      <c r="V139" s="252"/>
      <c r="W139" s="252"/>
      <c r="X139" s="252"/>
      <c r="Y139" s="252"/>
      <c r="Z139" s="252"/>
      <c r="AA139" s="252"/>
      <c r="AB139" s="252"/>
      <c r="AC139" s="252"/>
      <c r="AD139" s="252"/>
      <c r="AE139" s="252"/>
      <c r="AF139" s="252"/>
      <c r="AG139" s="252"/>
      <c r="AH139" s="252"/>
    </row>
    <row r="140" spans="1:34" x14ac:dyDescent="0.2">
      <c r="A140" s="252"/>
      <c r="B140" s="252"/>
      <c r="C140" s="252"/>
      <c r="D140" s="252"/>
      <c r="E140" s="252"/>
      <c r="F140" s="252"/>
      <c r="G140" s="252"/>
      <c r="H140" s="252"/>
      <c r="I140" s="252"/>
      <c r="J140" s="252"/>
      <c r="K140" s="252"/>
      <c r="L140" s="252"/>
      <c r="M140" s="252"/>
      <c r="N140" s="252"/>
      <c r="O140" s="252"/>
      <c r="P140" s="252"/>
      <c r="Q140" s="252"/>
      <c r="R140" s="252"/>
      <c r="S140" s="252"/>
      <c r="T140" s="252"/>
      <c r="U140" s="252"/>
      <c r="V140" s="252"/>
      <c r="W140" s="252"/>
      <c r="X140" s="252"/>
      <c r="Y140" s="252"/>
      <c r="Z140" s="252"/>
      <c r="AA140" s="252"/>
      <c r="AB140" s="252"/>
      <c r="AC140" s="252"/>
      <c r="AD140" s="252"/>
      <c r="AE140" s="252"/>
      <c r="AF140" s="252"/>
      <c r="AG140" s="252"/>
      <c r="AH140" s="252"/>
    </row>
    <row r="141" spans="1:34" x14ac:dyDescent="0.2">
      <c r="A141" s="252"/>
      <c r="B141" s="252"/>
      <c r="C141" s="252"/>
      <c r="D141" s="252"/>
      <c r="E141" s="252"/>
      <c r="F141" s="252"/>
      <c r="G141" s="252"/>
      <c r="H141" s="252"/>
      <c r="I141" s="252"/>
      <c r="J141" s="252"/>
      <c r="K141" s="252"/>
      <c r="L141" s="252"/>
      <c r="M141" s="252"/>
      <c r="N141" s="252"/>
      <c r="O141" s="252"/>
      <c r="P141" s="252"/>
      <c r="Q141" s="252"/>
      <c r="R141" s="252"/>
      <c r="S141" s="252"/>
      <c r="T141" s="252"/>
      <c r="U141" s="252"/>
      <c r="V141" s="252"/>
      <c r="W141" s="252"/>
      <c r="X141" s="252"/>
      <c r="Y141" s="252"/>
      <c r="Z141" s="252"/>
      <c r="AA141" s="252"/>
      <c r="AB141" s="252"/>
      <c r="AC141" s="252"/>
      <c r="AD141" s="252"/>
      <c r="AE141" s="252"/>
      <c r="AF141" s="252"/>
      <c r="AG141" s="252"/>
      <c r="AH141" s="252"/>
    </row>
    <row r="142" spans="1:34" x14ac:dyDescent="0.2">
      <c r="A142" s="252"/>
      <c r="B142" s="252"/>
      <c r="C142" s="252"/>
      <c r="D142" s="252"/>
      <c r="E142" s="252"/>
      <c r="F142" s="252"/>
      <c r="G142" s="252"/>
      <c r="H142" s="252"/>
      <c r="I142" s="252"/>
      <c r="J142" s="252"/>
      <c r="K142" s="252"/>
      <c r="L142" s="252"/>
      <c r="M142" s="252"/>
      <c r="N142" s="252"/>
      <c r="O142" s="252"/>
      <c r="P142" s="252"/>
      <c r="Q142" s="252"/>
      <c r="R142" s="252"/>
      <c r="S142" s="252"/>
      <c r="T142" s="252"/>
      <c r="U142" s="252"/>
      <c r="V142" s="252"/>
      <c r="W142" s="252"/>
      <c r="X142" s="252"/>
      <c r="Y142" s="252"/>
      <c r="Z142" s="252"/>
      <c r="AA142" s="252"/>
      <c r="AB142" s="252"/>
      <c r="AC142" s="252"/>
      <c r="AD142" s="252"/>
      <c r="AE142" s="252"/>
      <c r="AF142" s="252"/>
      <c r="AG142" s="252"/>
      <c r="AH142" s="252"/>
    </row>
    <row r="143" spans="1:34" x14ac:dyDescent="0.2">
      <c r="A143" s="252"/>
      <c r="B143" s="252"/>
      <c r="C143" s="252"/>
      <c r="D143" s="252"/>
      <c r="E143" s="252"/>
      <c r="F143" s="252"/>
      <c r="G143" s="252"/>
      <c r="H143" s="252"/>
      <c r="I143" s="252"/>
      <c r="J143" s="252"/>
      <c r="K143" s="252"/>
      <c r="L143" s="252"/>
      <c r="M143" s="252"/>
      <c r="N143" s="252"/>
      <c r="O143" s="252"/>
      <c r="P143" s="252"/>
      <c r="Q143" s="252"/>
      <c r="R143" s="252"/>
      <c r="S143" s="252"/>
      <c r="T143" s="252"/>
      <c r="U143" s="252"/>
      <c r="V143" s="252"/>
      <c r="W143" s="252"/>
      <c r="X143" s="252"/>
      <c r="Y143" s="252"/>
      <c r="Z143" s="252"/>
      <c r="AA143" s="252"/>
      <c r="AB143" s="252"/>
      <c r="AC143" s="252"/>
      <c r="AD143" s="252"/>
      <c r="AE143" s="252"/>
      <c r="AF143" s="252"/>
      <c r="AG143" s="252"/>
      <c r="AH143" s="252"/>
    </row>
    <row r="144" spans="1:34" x14ac:dyDescent="0.2">
      <c r="A144" s="252"/>
      <c r="B144" s="252"/>
      <c r="C144" s="252"/>
      <c r="D144" s="252"/>
      <c r="E144" s="252"/>
      <c r="F144" s="252"/>
      <c r="G144" s="252"/>
      <c r="H144" s="252"/>
      <c r="I144" s="252"/>
      <c r="J144" s="252"/>
      <c r="K144" s="252"/>
      <c r="L144" s="252"/>
      <c r="M144" s="252"/>
      <c r="N144" s="252"/>
      <c r="O144" s="252"/>
      <c r="P144" s="252"/>
      <c r="Q144" s="252"/>
      <c r="R144" s="252"/>
      <c r="S144" s="252"/>
      <c r="T144" s="252"/>
      <c r="U144" s="252"/>
      <c r="V144" s="252"/>
      <c r="W144" s="252"/>
      <c r="X144" s="252"/>
      <c r="Y144" s="252"/>
      <c r="Z144" s="252"/>
      <c r="AA144" s="252"/>
      <c r="AB144" s="252"/>
      <c r="AC144" s="252"/>
      <c r="AD144" s="252"/>
      <c r="AE144" s="252"/>
      <c r="AF144" s="252"/>
      <c r="AG144" s="252"/>
      <c r="AH144" s="252"/>
    </row>
    <row r="145" spans="1:34" x14ac:dyDescent="0.2">
      <c r="A145" s="252"/>
      <c r="B145" s="252"/>
      <c r="C145" s="252"/>
      <c r="D145" s="252"/>
      <c r="E145" s="252"/>
      <c r="F145" s="252"/>
      <c r="G145" s="252"/>
      <c r="H145" s="252"/>
      <c r="I145" s="252"/>
      <c r="J145" s="252"/>
      <c r="K145" s="252"/>
      <c r="L145" s="252"/>
      <c r="M145" s="252"/>
      <c r="N145" s="252"/>
      <c r="O145" s="252"/>
      <c r="P145" s="252"/>
      <c r="Q145" s="252"/>
      <c r="R145" s="252"/>
      <c r="S145" s="252"/>
      <c r="T145" s="252"/>
      <c r="U145" s="252"/>
      <c r="V145" s="252"/>
      <c r="W145" s="252"/>
      <c r="X145" s="252"/>
      <c r="Y145" s="252"/>
      <c r="Z145" s="252"/>
      <c r="AA145" s="252"/>
      <c r="AB145" s="252"/>
      <c r="AC145" s="252"/>
      <c r="AD145" s="252"/>
      <c r="AE145" s="252"/>
      <c r="AF145" s="252"/>
      <c r="AG145" s="252"/>
      <c r="AH145" s="252"/>
    </row>
    <row r="146" spans="1:34" x14ac:dyDescent="0.2">
      <c r="A146" s="252"/>
      <c r="B146" s="252"/>
      <c r="C146" s="252"/>
      <c r="D146" s="252"/>
      <c r="E146" s="252"/>
      <c r="F146" s="252"/>
      <c r="G146" s="252"/>
      <c r="H146" s="252"/>
      <c r="I146" s="252"/>
      <c r="J146" s="252"/>
      <c r="K146" s="252"/>
      <c r="L146" s="252"/>
      <c r="M146" s="252"/>
      <c r="N146" s="252"/>
      <c r="O146" s="252"/>
      <c r="P146" s="252"/>
      <c r="Q146" s="252"/>
      <c r="R146" s="252"/>
      <c r="S146" s="252"/>
      <c r="T146" s="252"/>
      <c r="U146" s="252"/>
      <c r="V146" s="252"/>
      <c r="W146" s="252"/>
      <c r="X146" s="252"/>
      <c r="Y146" s="252"/>
      <c r="Z146" s="252"/>
      <c r="AA146" s="252"/>
      <c r="AB146" s="252"/>
      <c r="AC146" s="252"/>
      <c r="AD146" s="252"/>
      <c r="AE146" s="252"/>
      <c r="AF146" s="252"/>
      <c r="AG146" s="252"/>
      <c r="AH146" s="252"/>
    </row>
    <row r="147" spans="1:34" x14ac:dyDescent="0.2">
      <c r="A147" s="252"/>
      <c r="B147" s="252"/>
      <c r="C147" s="252"/>
      <c r="D147" s="252"/>
      <c r="E147" s="252"/>
      <c r="F147" s="252"/>
      <c r="G147" s="252"/>
      <c r="H147" s="252"/>
      <c r="I147" s="252"/>
      <c r="J147" s="252"/>
      <c r="K147" s="252"/>
      <c r="L147" s="252"/>
      <c r="M147" s="252"/>
      <c r="N147" s="252"/>
      <c r="O147" s="252"/>
      <c r="P147" s="252"/>
      <c r="Q147" s="252"/>
      <c r="R147" s="252"/>
      <c r="S147" s="252"/>
      <c r="T147" s="252"/>
      <c r="U147" s="252"/>
      <c r="V147" s="252"/>
      <c r="W147" s="252"/>
      <c r="X147" s="252"/>
      <c r="Y147" s="252"/>
      <c r="Z147" s="252"/>
      <c r="AA147" s="252"/>
      <c r="AB147" s="252"/>
      <c r="AC147" s="252"/>
      <c r="AD147" s="252"/>
      <c r="AE147" s="252"/>
      <c r="AF147" s="252"/>
      <c r="AG147" s="252"/>
      <c r="AH147" s="252"/>
    </row>
    <row r="148" spans="1:34" x14ac:dyDescent="0.2">
      <c r="A148" s="252"/>
      <c r="B148" s="252"/>
      <c r="C148" s="252"/>
      <c r="D148" s="252"/>
      <c r="E148" s="252"/>
      <c r="F148" s="252"/>
      <c r="G148" s="252"/>
      <c r="H148" s="252"/>
      <c r="I148" s="252"/>
      <c r="J148" s="252"/>
      <c r="K148" s="252"/>
      <c r="L148" s="252"/>
      <c r="M148" s="252"/>
      <c r="N148" s="252"/>
      <c r="O148" s="252"/>
      <c r="P148" s="252"/>
      <c r="Q148" s="252"/>
      <c r="R148" s="252"/>
      <c r="S148" s="252"/>
      <c r="T148" s="252"/>
      <c r="U148" s="252"/>
      <c r="V148" s="252"/>
      <c r="W148" s="252"/>
      <c r="X148" s="252"/>
      <c r="Y148" s="252"/>
      <c r="Z148" s="252"/>
      <c r="AA148" s="252"/>
      <c r="AB148" s="252"/>
      <c r="AC148" s="252"/>
      <c r="AD148" s="252"/>
      <c r="AE148" s="252"/>
      <c r="AF148" s="252"/>
      <c r="AG148" s="252"/>
      <c r="AH148" s="252"/>
    </row>
    <row r="149" spans="1:34" x14ac:dyDescent="0.2">
      <c r="A149" s="252"/>
      <c r="B149" s="252"/>
      <c r="C149" s="252"/>
      <c r="D149" s="252"/>
      <c r="E149" s="252"/>
      <c r="F149" s="252"/>
      <c r="G149" s="252"/>
      <c r="H149" s="252"/>
      <c r="I149" s="252"/>
      <c r="J149" s="252"/>
      <c r="K149" s="252"/>
      <c r="L149" s="252"/>
      <c r="M149" s="252"/>
      <c r="N149" s="252"/>
      <c r="O149" s="252"/>
      <c r="P149" s="252"/>
      <c r="Q149" s="252"/>
      <c r="R149" s="252"/>
      <c r="S149" s="252"/>
      <c r="T149" s="252"/>
      <c r="U149" s="252"/>
      <c r="V149" s="252"/>
      <c r="W149" s="252"/>
      <c r="X149" s="252"/>
      <c r="Y149" s="252"/>
      <c r="Z149" s="252"/>
      <c r="AA149" s="252"/>
      <c r="AB149" s="252"/>
      <c r="AC149" s="252"/>
      <c r="AD149" s="252"/>
      <c r="AE149" s="252"/>
      <c r="AF149" s="252"/>
      <c r="AG149" s="252"/>
      <c r="AH149" s="252"/>
    </row>
    <row r="150" spans="1:34" x14ac:dyDescent="0.2">
      <c r="A150" s="252"/>
      <c r="B150" s="252"/>
      <c r="C150" s="252"/>
      <c r="D150" s="252"/>
      <c r="E150" s="252"/>
      <c r="F150" s="252"/>
      <c r="G150" s="252"/>
      <c r="H150" s="252"/>
      <c r="I150" s="252"/>
      <c r="J150" s="252"/>
      <c r="K150" s="252"/>
      <c r="L150" s="252"/>
      <c r="M150" s="252"/>
      <c r="N150" s="252"/>
      <c r="O150" s="252"/>
      <c r="P150" s="252"/>
      <c r="Q150" s="252"/>
      <c r="R150" s="252"/>
      <c r="S150" s="252"/>
      <c r="T150" s="252"/>
      <c r="U150" s="252"/>
      <c r="V150" s="252"/>
      <c r="W150" s="252"/>
      <c r="X150" s="252"/>
      <c r="Y150" s="252"/>
      <c r="Z150" s="252"/>
      <c r="AA150" s="252"/>
      <c r="AB150" s="252"/>
      <c r="AC150" s="252"/>
      <c r="AD150" s="252"/>
      <c r="AE150" s="252"/>
      <c r="AF150" s="252"/>
      <c r="AG150" s="252"/>
      <c r="AH150" s="252"/>
    </row>
    <row r="151" spans="1:34" x14ac:dyDescent="0.2">
      <c r="A151" s="252"/>
      <c r="B151" s="252"/>
      <c r="C151" s="252"/>
      <c r="D151" s="252"/>
      <c r="E151" s="252"/>
      <c r="F151" s="252"/>
      <c r="G151" s="252"/>
      <c r="H151" s="252"/>
      <c r="I151" s="252"/>
      <c r="J151" s="252"/>
      <c r="K151" s="252"/>
      <c r="L151" s="252"/>
      <c r="M151" s="252"/>
      <c r="N151" s="252"/>
      <c r="O151" s="252"/>
      <c r="P151" s="252"/>
      <c r="Q151" s="252"/>
      <c r="R151" s="252"/>
      <c r="S151" s="252"/>
      <c r="T151" s="252"/>
      <c r="U151" s="252"/>
      <c r="V151" s="252"/>
      <c r="W151" s="252"/>
      <c r="X151" s="252"/>
      <c r="Y151" s="252"/>
      <c r="Z151" s="252"/>
      <c r="AA151" s="252"/>
      <c r="AB151" s="252"/>
      <c r="AC151" s="252"/>
      <c r="AD151" s="252"/>
      <c r="AE151" s="252"/>
      <c r="AF151" s="252"/>
      <c r="AG151" s="252"/>
      <c r="AH151" s="252"/>
    </row>
    <row r="152" spans="1:34" x14ac:dyDescent="0.2">
      <c r="A152" s="252"/>
      <c r="B152" s="252"/>
      <c r="C152" s="252"/>
      <c r="D152" s="252"/>
      <c r="E152" s="252"/>
      <c r="F152" s="252"/>
      <c r="G152" s="252"/>
      <c r="H152" s="252"/>
      <c r="I152" s="252"/>
      <c r="J152" s="252"/>
      <c r="K152" s="252"/>
      <c r="L152" s="252"/>
      <c r="M152" s="252"/>
      <c r="N152" s="252"/>
      <c r="O152" s="252"/>
      <c r="P152" s="252"/>
      <c r="Q152" s="252"/>
      <c r="R152" s="252"/>
      <c r="S152" s="252"/>
      <c r="T152" s="252"/>
      <c r="U152" s="252"/>
      <c r="V152" s="252"/>
      <c r="W152" s="252"/>
      <c r="X152" s="252"/>
      <c r="Y152" s="252"/>
      <c r="Z152" s="252"/>
      <c r="AA152" s="252"/>
      <c r="AB152" s="252"/>
      <c r="AC152" s="252"/>
      <c r="AD152" s="252"/>
      <c r="AE152" s="252"/>
      <c r="AF152" s="252"/>
      <c r="AG152" s="252"/>
      <c r="AH152" s="252"/>
    </row>
    <row r="153" spans="1:34" x14ac:dyDescent="0.2">
      <c r="A153" s="252"/>
      <c r="B153" s="252"/>
      <c r="C153" s="252"/>
      <c r="D153" s="252"/>
      <c r="E153" s="252"/>
      <c r="F153" s="252"/>
      <c r="G153" s="252"/>
      <c r="H153" s="252"/>
      <c r="I153" s="252"/>
      <c r="J153" s="252"/>
      <c r="K153" s="252"/>
      <c r="L153" s="252"/>
      <c r="M153" s="252"/>
      <c r="N153" s="252"/>
      <c r="O153" s="252"/>
      <c r="P153" s="252"/>
      <c r="Q153" s="252"/>
      <c r="R153" s="252"/>
      <c r="S153" s="252"/>
      <c r="T153" s="252"/>
      <c r="U153" s="252"/>
      <c r="V153" s="252"/>
      <c r="W153" s="252"/>
      <c r="X153" s="252"/>
      <c r="Y153" s="252"/>
      <c r="Z153" s="252"/>
      <c r="AA153" s="252"/>
      <c r="AB153" s="252"/>
      <c r="AC153" s="252"/>
      <c r="AD153" s="252"/>
      <c r="AE153" s="252"/>
      <c r="AF153" s="252"/>
      <c r="AG153" s="252"/>
      <c r="AH153" s="252"/>
    </row>
    <row r="154" spans="1:34" x14ac:dyDescent="0.2">
      <c r="A154" s="252"/>
      <c r="B154" s="252"/>
      <c r="C154" s="252"/>
      <c r="D154" s="252"/>
      <c r="E154" s="252"/>
      <c r="F154" s="252"/>
      <c r="G154" s="252"/>
      <c r="H154" s="252"/>
      <c r="I154" s="252"/>
      <c r="J154" s="252"/>
      <c r="K154" s="252"/>
      <c r="L154" s="252"/>
      <c r="M154" s="252"/>
      <c r="N154" s="252"/>
      <c r="O154" s="252"/>
      <c r="P154" s="252"/>
      <c r="Q154" s="252"/>
      <c r="R154" s="252"/>
      <c r="S154" s="252"/>
      <c r="T154" s="252"/>
      <c r="U154" s="252"/>
      <c r="V154" s="252"/>
      <c r="W154" s="252"/>
      <c r="X154" s="252"/>
      <c r="Y154" s="252"/>
      <c r="Z154" s="252"/>
      <c r="AA154" s="252"/>
      <c r="AB154" s="252"/>
      <c r="AC154" s="252"/>
      <c r="AD154" s="252"/>
      <c r="AE154" s="252"/>
      <c r="AF154" s="252"/>
      <c r="AG154" s="252"/>
      <c r="AH154" s="252"/>
    </row>
    <row r="155" spans="1:34" x14ac:dyDescent="0.2">
      <c r="A155" s="252"/>
      <c r="B155" s="252"/>
      <c r="C155" s="252"/>
      <c r="D155" s="252"/>
      <c r="E155" s="252"/>
      <c r="F155" s="252"/>
      <c r="G155" s="252"/>
      <c r="H155" s="252"/>
      <c r="I155" s="252"/>
      <c r="J155" s="252"/>
      <c r="K155" s="252"/>
      <c r="L155" s="252"/>
      <c r="M155" s="252"/>
      <c r="N155" s="252"/>
      <c r="O155" s="252"/>
      <c r="P155" s="252"/>
      <c r="Q155" s="252"/>
      <c r="R155" s="252"/>
      <c r="S155" s="252"/>
      <c r="T155" s="252"/>
      <c r="U155" s="252"/>
      <c r="V155" s="252"/>
      <c r="W155" s="252"/>
      <c r="X155" s="252"/>
      <c r="Y155" s="252"/>
      <c r="Z155" s="252"/>
      <c r="AA155" s="252"/>
      <c r="AB155" s="252"/>
      <c r="AC155" s="252"/>
      <c r="AD155" s="252"/>
      <c r="AE155" s="252"/>
      <c r="AF155" s="252"/>
      <c r="AG155" s="252"/>
      <c r="AH155" s="252"/>
    </row>
    <row r="156" spans="1:34" x14ac:dyDescent="0.2">
      <c r="A156" s="252"/>
      <c r="B156" s="252"/>
      <c r="C156" s="252"/>
      <c r="D156" s="252"/>
      <c r="E156" s="252"/>
      <c r="F156" s="252"/>
      <c r="G156" s="252"/>
      <c r="H156" s="252"/>
      <c r="I156" s="252"/>
      <c r="J156" s="252"/>
      <c r="K156" s="252"/>
      <c r="L156" s="252"/>
      <c r="M156" s="252"/>
      <c r="N156" s="252"/>
      <c r="O156" s="252"/>
      <c r="P156" s="252"/>
      <c r="Q156" s="252"/>
      <c r="R156" s="252"/>
      <c r="S156" s="252"/>
      <c r="T156" s="252"/>
      <c r="U156" s="252"/>
      <c r="V156" s="252"/>
      <c r="W156" s="252"/>
      <c r="X156" s="252"/>
      <c r="Y156" s="252"/>
      <c r="Z156" s="252"/>
      <c r="AA156" s="252"/>
      <c r="AB156" s="252"/>
      <c r="AC156" s="252"/>
      <c r="AD156" s="252"/>
      <c r="AE156" s="252"/>
      <c r="AF156" s="252"/>
      <c r="AG156" s="252"/>
      <c r="AH156" s="252"/>
    </row>
    <row r="157" spans="1:34" x14ac:dyDescent="0.2">
      <c r="A157" s="252"/>
      <c r="B157" s="252"/>
      <c r="C157" s="252"/>
      <c r="D157" s="252"/>
      <c r="E157" s="252"/>
      <c r="F157" s="252"/>
      <c r="G157" s="252"/>
      <c r="H157" s="252"/>
      <c r="I157" s="252"/>
      <c r="J157" s="252"/>
      <c r="K157" s="252"/>
      <c r="L157" s="252"/>
      <c r="M157" s="252"/>
      <c r="N157" s="252"/>
      <c r="O157" s="252"/>
      <c r="P157" s="252"/>
      <c r="Q157" s="252"/>
      <c r="R157" s="252"/>
      <c r="S157" s="252"/>
      <c r="T157" s="252"/>
      <c r="U157" s="252"/>
      <c r="V157" s="252"/>
      <c r="W157" s="252"/>
      <c r="X157" s="252"/>
      <c r="Y157" s="252"/>
      <c r="Z157" s="252"/>
      <c r="AA157" s="252"/>
      <c r="AB157" s="252"/>
      <c r="AC157" s="252"/>
      <c r="AD157" s="252"/>
      <c r="AE157" s="252"/>
      <c r="AF157" s="252"/>
      <c r="AG157" s="252"/>
      <c r="AH157" s="252"/>
    </row>
    <row r="158" spans="1:34" x14ac:dyDescent="0.2">
      <c r="A158" s="252"/>
      <c r="B158" s="252"/>
      <c r="C158" s="252"/>
      <c r="D158" s="252"/>
      <c r="E158" s="252"/>
      <c r="F158" s="252"/>
      <c r="G158" s="252"/>
      <c r="H158" s="252"/>
      <c r="I158" s="252"/>
      <c r="J158" s="252"/>
      <c r="K158" s="252"/>
      <c r="L158" s="252"/>
      <c r="M158" s="252"/>
      <c r="N158" s="252"/>
      <c r="O158" s="252"/>
      <c r="P158" s="252"/>
      <c r="Q158" s="252"/>
      <c r="R158" s="252"/>
      <c r="S158" s="252"/>
      <c r="T158" s="252"/>
      <c r="U158" s="252"/>
      <c r="V158" s="252"/>
      <c r="W158" s="252"/>
      <c r="X158" s="252"/>
      <c r="Y158" s="252"/>
      <c r="Z158" s="252"/>
      <c r="AA158" s="252"/>
      <c r="AB158" s="252"/>
      <c r="AC158" s="252"/>
      <c r="AD158" s="252"/>
      <c r="AE158" s="252"/>
      <c r="AF158" s="252"/>
      <c r="AG158" s="252"/>
      <c r="AH158" s="252"/>
    </row>
    <row r="159" spans="1:34" x14ac:dyDescent="0.2">
      <c r="A159" s="252"/>
      <c r="B159" s="252"/>
      <c r="C159" s="252"/>
      <c r="D159" s="252"/>
      <c r="E159" s="252"/>
      <c r="F159" s="252"/>
      <c r="G159" s="252"/>
      <c r="H159" s="252"/>
      <c r="I159" s="252"/>
      <c r="J159" s="252"/>
      <c r="K159" s="252"/>
      <c r="L159" s="252"/>
      <c r="M159" s="252"/>
      <c r="N159" s="252"/>
      <c r="O159" s="252"/>
      <c r="P159" s="252"/>
      <c r="Q159" s="252"/>
      <c r="R159" s="252"/>
      <c r="S159" s="252"/>
      <c r="T159" s="252"/>
      <c r="U159" s="252"/>
      <c r="V159" s="252"/>
      <c r="W159" s="252"/>
      <c r="X159" s="252"/>
      <c r="Y159" s="252"/>
      <c r="Z159" s="252"/>
      <c r="AA159" s="252"/>
      <c r="AB159" s="252"/>
      <c r="AC159" s="252"/>
      <c r="AD159" s="252"/>
      <c r="AE159" s="252"/>
      <c r="AF159" s="252"/>
      <c r="AG159" s="252"/>
      <c r="AH159" s="252"/>
    </row>
    <row r="160" spans="1:34" x14ac:dyDescent="0.2">
      <c r="A160" s="252"/>
      <c r="B160" s="252"/>
      <c r="C160" s="252"/>
      <c r="D160" s="252"/>
      <c r="E160" s="252"/>
      <c r="F160" s="252"/>
      <c r="G160" s="252"/>
      <c r="H160" s="252"/>
      <c r="I160" s="252"/>
      <c r="J160" s="252"/>
      <c r="K160" s="252"/>
      <c r="L160" s="252"/>
      <c r="M160" s="252"/>
      <c r="N160" s="252"/>
      <c r="O160" s="252"/>
      <c r="P160" s="252"/>
      <c r="Q160" s="252"/>
      <c r="R160" s="252"/>
      <c r="S160" s="252"/>
      <c r="T160" s="252"/>
      <c r="U160" s="252"/>
      <c r="V160" s="252"/>
      <c r="W160" s="252"/>
      <c r="X160" s="252"/>
      <c r="Y160" s="252"/>
      <c r="Z160" s="252"/>
      <c r="AA160" s="252"/>
      <c r="AB160" s="252"/>
      <c r="AC160" s="252"/>
      <c r="AD160" s="252"/>
      <c r="AE160" s="252"/>
      <c r="AF160" s="252"/>
      <c r="AG160" s="252"/>
      <c r="AH160" s="252"/>
    </row>
    <row r="161" spans="1:34" x14ac:dyDescent="0.2">
      <c r="A161" s="252"/>
      <c r="B161" s="252"/>
      <c r="C161" s="252"/>
      <c r="D161" s="252"/>
      <c r="E161" s="252"/>
      <c r="F161" s="252"/>
      <c r="G161" s="252"/>
      <c r="H161" s="252"/>
      <c r="I161" s="252"/>
      <c r="J161" s="252"/>
      <c r="K161" s="252"/>
      <c r="L161" s="252"/>
      <c r="M161" s="252"/>
      <c r="N161" s="252"/>
      <c r="O161" s="252"/>
      <c r="P161" s="252"/>
      <c r="Q161" s="252"/>
      <c r="R161" s="252"/>
      <c r="S161" s="252"/>
      <c r="T161" s="252"/>
      <c r="U161" s="252"/>
      <c r="V161" s="252"/>
      <c r="W161" s="252"/>
      <c r="X161" s="252"/>
      <c r="Y161" s="252"/>
      <c r="Z161" s="252"/>
      <c r="AA161" s="252"/>
      <c r="AB161" s="252"/>
      <c r="AC161" s="252"/>
      <c r="AD161" s="252"/>
      <c r="AE161" s="252"/>
      <c r="AF161" s="252"/>
      <c r="AG161" s="252"/>
      <c r="AH161" s="252"/>
    </row>
    <row r="162" spans="1:34" x14ac:dyDescent="0.2">
      <c r="A162" s="252"/>
      <c r="B162" s="252"/>
      <c r="C162" s="252"/>
      <c r="D162" s="252"/>
      <c r="E162" s="252"/>
      <c r="F162" s="252"/>
      <c r="G162" s="252"/>
      <c r="H162" s="252"/>
      <c r="I162" s="252"/>
      <c r="J162" s="252"/>
      <c r="K162" s="252"/>
      <c r="L162" s="252"/>
      <c r="M162" s="252"/>
      <c r="N162" s="252"/>
      <c r="O162" s="252"/>
      <c r="P162" s="252"/>
      <c r="Q162" s="252"/>
      <c r="R162" s="252"/>
      <c r="S162" s="252"/>
      <c r="T162" s="252"/>
      <c r="U162" s="252"/>
      <c r="V162" s="252"/>
      <c r="W162" s="252"/>
      <c r="X162" s="252"/>
      <c r="Y162" s="252"/>
      <c r="Z162" s="252"/>
      <c r="AA162" s="252"/>
      <c r="AB162" s="252"/>
      <c r="AC162" s="252"/>
      <c r="AD162" s="252"/>
      <c r="AE162" s="252"/>
      <c r="AF162" s="252"/>
      <c r="AG162" s="252"/>
      <c r="AH162" s="252"/>
    </row>
    <row r="163" spans="1:34" x14ac:dyDescent="0.2">
      <c r="A163" s="252"/>
      <c r="B163" s="252"/>
      <c r="C163" s="252"/>
      <c r="D163" s="252"/>
      <c r="E163" s="252"/>
      <c r="F163" s="252"/>
      <c r="G163" s="252"/>
      <c r="H163" s="252"/>
      <c r="I163" s="252"/>
      <c r="J163" s="252"/>
      <c r="K163" s="252"/>
      <c r="L163" s="252"/>
      <c r="M163" s="252"/>
      <c r="N163" s="252"/>
      <c r="O163" s="252"/>
      <c r="P163" s="252"/>
      <c r="Q163" s="252"/>
      <c r="R163" s="252"/>
      <c r="S163" s="252"/>
      <c r="T163" s="252"/>
      <c r="U163" s="252"/>
      <c r="V163" s="252"/>
      <c r="W163" s="252"/>
      <c r="X163" s="252"/>
      <c r="Y163" s="252"/>
      <c r="Z163" s="252"/>
      <c r="AA163" s="252"/>
      <c r="AB163" s="252"/>
      <c r="AC163" s="252"/>
      <c r="AD163" s="252"/>
      <c r="AE163" s="252"/>
      <c r="AF163" s="252"/>
      <c r="AG163" s="252"/>
      <c r="AH163" s="252"/>
    </row>
    <row r="164" spans="1:34" x14ac:dyDescent="0.2">
      <c r="A164" s="252"/>
      <c r="B164" s="252"/>
      <c r="C164" s="252"/>
      <c r="D164" s="252"/>
      <c r="E164" s="252"/>
      <c r="F164" s="252"/>
      <c r="G164" s="252"/>
      <c r="H164" s="252"/>
      <c r="I164" s="252"/>
      <c r="J164" s="252"/>
      <c r="K164" s="252"/>
      <c r="L164" s="252"/>
      <c r="M164" s="252"/>
      <c r="N164" s="252"/>
      <c r="O164" s="252"/>
      <c r="P164" s="252"/>
      <c r="Q164" s="252"/>
      <c r="R164" s="252"/>
      <c r="S164" s="252"/>
      <c r="T164" s="252"/>
      <c r="U164" s="252"/>
      <c r="V164" s="252"/>
      <c r="W164" s="252"/>
      <c r="X164" s="252"/>
      <c r="Y164" s="252"/>
      <c r="Z164" s="252"/>
      <c r="AA164" s="252"/>
      <c r="AB164" s="252"/>
      <c r="AC164" s="252"/>
      <c r="AD164" s="252"/>
      <c r="AE164" s="252"/>
      <c r="AF164" s="252"/>
      <c r="AG164" s="252"/>
      <c r="AH164" s="252"/>
    </row>
    <row r="165" spans="1:34" x14ac:dyDescent="0.2">
      <c r="A165" s="252"/>
      <c r="B165" s="252"/>
      <c r="C165" s="252"/>
      <c r="D165" s="252"/>
      <c r="E165" s="252"/>
      <c r="F165" s="252"/>
      <c r="G165" s="252"/>
      <c r="H165" s="252"/>
      <c r="I165" s="252"/>
      <c r="J165" s="252"/>
      <c r="K165" s="252"/>
      <c r="L165" s="252"/>
      <c r="M165" s="252"/>
      <c r="N165" s="252"/>
      <c r="O165" s="252"/>
      <c r="P165" s="252"/>
      <c r="Q165" s="252"/>
      <c r="R165" s="252"/>
      <c r="S165" s="252"/>
      <c r="T165" s="252"/>
      <c r="U165" s="252"/>
      <c r="V165" s="252"/>
      <c r="W165" s="252"/>
      <c r="X165" s="252"/>
      <c r="Y165" s="252"/>
      <c r="Z165" s="252"/>
      <c r="AA165" s="252"/>
      <c r="AB165" s="252"/>
      <c r="AC165" s="252"/>
      <c r="AD165" s="252"/>
      <c r="AE165" s="252"/>
      <c r="AF165" s="252"/>
      <c r="AG165" s="252"/>
      <c r="AH165" s="252"/>
    </row>
    <row r="166" spans="1:34" x14ac:dyDescent="0.2">
      <c r="A166" s="252"/>
      <c r="B166" s="252"/>
      <c r="C166" s="252"/>
      <c r="D166" s="252"/>
      <c r="E166" s="252"/>
      <c r="F166" s="252"/>
      <c r="G166" s="252"/>
      <c r="H166" s="252"/>
      <c r="I166" s="252"/>
      <c r="J166" s="252"/>
      <c r="K166" s="252"/>
      <c r="L166" s="252"/>
      <c r="M166" s="252"/>
      <c r="N166" s="252"/>
      <c r="O166" s="252"/>
      <c r="P166" s="252"/>
      <c r="Q166" s="252"/>
      <c r="R166" s="252"/>
      <c r="S166" s="252"/>
      <c r="T166" s="252"/>
      <c r="U166" s="252"/>
      <c r="V166" s="252"/>
      <c r="W166" s="252"/>
      <c r="X166" s="252"/>
      <c r="Y166" s="252"/>
      <c r="Z166" s="252"/>
      <c r="AA166" s="252"/>
      <c r="AB166" s="252"/>
      <c r="AC166" s="252"/>
      <c r="AD166" s="252"/>
      <c r="AE166" s="252"/>
      <c r="AF166" s="252"/>
      <c r="AG166" s="252"/>
      <c r="AH166" s="252"/>
    </row>
    <row r="167" spans="1:34" x14ac:dyDescent="0.2">
      <c r="A167" s="252"/>
      <c r="B167" s="252"/>
      <c r="C167" s="252"/>
      <c r="D167" s="252"/>
      <c r="E167" s="252"/>
      <c r="F167" s="252"/>
      <c r="G167" s="252"/>
      <c r="H167" s="252"/>
      <c r="I167" s="252"/>
      <c r="J167" s="252"/>
      <c r="K167" s="252"/>
      <c r="L167" s="252"/>
      <c r="M167" s="252"/>
      <c r="N167" s="252"/>
      <c r="O167" s="252"/>
      <c r="P167" s="252"/>
      <c r="Q167" s="252"/>
      <c r="R167" s="252"/>
      <c r="S167" s="252"/>
      <c r="T167" s="252"/>
      <c r="U167" s="252"/>
      <c r="V167" s="252"/>
      <c r="W167" s="252"/>
      <c r="X167" s="252"/>
      <c r="Y167" s="252"/>
      <c r="Z167" s="252"/>
      <c r="AA167" s="252"/>
      <c r="AB167" s="252"/>
      <c r="AC167" s="252"/>
      <c r="AD167" s="252"/>
      <c r="AE167" s="252"/>
      <c r="AF167" s="252"/>
      <c r="AG167" s="252"/>
      <c r="AH167" s="252"/>
    </row>
    <row r="168" spans="1:34" x14ac:dyDescent="0.2">
      <c r="A168" s="252"/>
      <c r="B168" s="252"/>
      <c r="C168" s="252"/>
      <c r="D168" s="252"/>
      <c r="E168" s="252"/>
      <c r="F168" s="252"/>
      <c r="G168" s="252"/>
      <c r="H168" s="252"/>
      <c r="I168" s="252"/>
      <c r="J168" s="252"/>
      <c r="K168" s="252"/>
      <c r="L168" s="252"/>
      <c r="M168" s="252"/>
      <c r="N168" s="252"/>
      <c r="O168" s="252"/>
      <c r="P168" s="252"/>
      <c r="Q168" s="252"/>
      <c r="R168" s="252"/>
      <c r="S168" s="252"/>
      <c r="T168" s="252"/>
      <c r="U168" s="252"/>
      <c r="V168" s="252"/>
      <c r="W168" s="252"/>
      <c r="X168" s="252"/>
      <c r="Y168" s="252"/>
      <c r="Z168" s="252"/>
      <c r="AA168" s="252"/>
      <c r="AB168" s="252"/>
      <c r="AC168" s="252"/>
      <c r="AD168" s="252"/>
      <c r="AE168" s="252"/>
      <c r="AF168" s="252"/>
      <c r="AG168" s="252"/>
      <c r="AH168" s="252"/>
    </row>
    <row r="169" spans="1:34" x14ac:dyDescent="0.2">
      <c r="A169" s="252"/>
      <c r="B169" s="252"/>
      <c r="C169" s="252"/>
      <c r="D169" s="252"/>
      <c r="E169" s="252"/>
      <c r="F169" s="252"/>
      <c r="G169" s="252"/>
      <c r="H169" s="252"/>
      <c r="I169" s="252"/>
      <c r="J169" s="252"/>
      <c r="K169" s="252"/>
      <c r="L169" s="252"/>
      <c r="M169" s="252"/>
      <c r="N169" s="252"/>
      <c r="O169" s="252"/>
      <c r="P169" s="252"/>
      <c r="Q169" s="252"/>
      <c r="R169" s="252"/>
      <c r="S169" s="252"/>
      <c r="T169" s="252"/>
      <c r="U169" s="252"/>
      <c r="V169" s="252"/>
      <c r="W169" s="252"/>
      <c r="X169" s="252"/>
      <c r="Y169" s="252"/>
      <c r="Z169" s="252"/>
      <c r="AA169" s="252"/>
      <c r="AB169" s="252"/>
      <c r="AC169" s="252"/>
      <c r="AD169" s="252"/>
      <c r="AE169" s="252"/>
      <c r="AF169" s="252"/>
      <c r="AG169" s="252"/>
      <c r="AH169" s="252"/>
    </row>
    <row r="170" spans="1:34" x14ac:dyDescent="0.2">
      <c r="A170" s="252"/>
      <c r="B170" s="252"/>
      <c r="C170" s="252"/>
      <c r="D170" s="252"/>
      <c r="E170" s="252"/>
      <c r="F170" s="252"/>
      <c r="G170" s="252"/>
      <c r="H170" s="252"/>
      <c r="I170" s="252"/>
      <c r="J170" s="252"/>
      <c r="K170" s="252"/>
      <c r="L170" s="252"/>
      <c r="M170" s="252"/>
      <c r="N170" s="252"/>
      <c r="O170" s="252"/>
      <c r="P170" s="252"/>
      <c r="Q170" s="252"/>
      <c r="R170" s="252"/>
      <c r="S170" s="252"/>
      <c r="T170" s="252"/>
      <c r="U170" s="252"/>
      <c r="V170" s="252"/>
      <c r="W170" s="252"/>
      <c r="X170" s="252"/>
      <c r="Y170" s="252"/>
      <c r="Z170" s="252"/>
      <c r="AA170" s="252"/>
      <c r="AB170" s="252"/>
      <c r="AC170" s="252"/>
      <c r="AD170" s="252"/>
      <c r="AE170" s="252"/>
      <c r="AF170" s="252"/>
      <c r="AG170" s="252"/>
      <c r="AH170" s="252"/>
    </row>
    <row r="171" spans="1:34" x14ac:dyDescent="0.2">
      <c r="A171" s="252"/>
      <c r="B171" s="252"/>
      <c r="C171" s="252"/>
      <c r="D171" s="252"/>
      <c r="E171" s="252"/>
      <c r="F171" s="252"/>
      <c r="G171" s="252"/>
      <c r="H171" s="252"/>
      <c r="I171" s="252"/>
      <c r="J171" s="252"/>
      <c r="K171" s="252"/>
      <c r="L171" s="252"/>
      <c r="M171" s="252"/>
      <c r="N171" s="252"/>
      <c r="O171" s="252"/>
      <c r="P171" s="252"/>
      <c r="Q171" s="252"/>
      <c r="R171" s="252"/>
      <c r="S171" s="252"/>
      <c r="T171" s="252"/>
      <c r="U171" s="252"/>
      <c r="V171" s="252"/>
      <c r="W171" s="252"/>
      <c r="X171" s="252"/>
      <c r="Y171" s="252"/>
      <c r="Z171" s="252"/>
      <c r="AA171" s="252"/>
      <c r="AB171" s="252"/>
      <c r="AC171" s="252"/>
      <c r="AD171" s="252"/>
      <c r="AE171" s="252"/>
      <c r="AF171" s="252"/>
      <c r="AG171" s="252"/>
      <c r="AH171" s="252"/>
    </row>
    <row r="172" spans="1:34" x14ac:dyDescent="0.2">
      <c r="A172" s="252"/>
      <c r="B172" s="252"/>
      <c r="C172" s="252"/>
      <c r="D172" s="252"/>
      <c r="E172" s="252"/>
      <c r="F172" s="252"/>
      <c r="G172" s="252"/>
      <c r="H172" s="252"/>
      <c r="I172" s="252"/>
      <c r="J172" s="252"/>
      <c r="K172" s="252"/>
      <c r="L172" s="252"/>
      <c r="M172" s="252"/>
      <c r="N172" s="252"/>
      <c r="O172" s="252"/>
      <c r="P172" s="252"/>
      <c r="Q172" s="252"/>
      <c r="R172" s="252"/>
      <c r="S172" s="252"/>
      <c r="T172" s="252"/>
      <c r="U172" s="252"/>
      <c r="V172" s="252"/>
      <c r="W172" s="252"/>
      <c r="X172" s="252"/>
      <c r="Y172" s="252"/>
      <c r="Z172" s="252"/>
      <c r="AA172" s="252"/>
      <c r="AB172" s="252"/>
      <c r="AC172" s="252"/>
      <c r="AD172" s="252"/>
      <c r="AE172" s="252"/>
      <c r="AF172" s="252"/>
      <c r="AG172" s="252"/>
      <c r="AH172" s="252"/>
    </row>
    <row r="173" spans="1:34" x14ac:dyDescent="0.2">
      <c r="A173" s="252"/>
      <c r="B173" s="252"/>
      <c r="C173" s="252"/>
      <c r="D173" s="252"/>
      <c r="E173" s="252"/>
      <c r="F173" s="252"/>
      <c r="G173" s="252"/>
      <c r="H173" s="252"/>
      <c r="I173" s="252"/>
      <c r="J173" s="252"/>
      <c r="K173" s="252"/>
      <c r="L173" s="252"/>
      <c r="M173" s="252"/>
      <c r="N173" s="252"/>
      <c r="O173" s="252"/>
      <c r="P173" s="252"/>
      <c r="Q173" s="252"/>
      <c r="R173" s="252"/>
      <c r="S173" s="252"/>
      <c r="T173" s="252"/>
      <c r="U173" s="252"/>
      <c r="V173" s="252"/>
      <c r="W173" s="252"/>
      <c r="X173" s="252"/>
      <c r="Y173" s="252"/>
      <c r="Z173" s="252"/>
      <c r="AA173" s="252"/>
      <c r="AB173" s="252"/>
      <c r="AC173" s="252"/>
      <c r="AD173" s="252"/>
      <c r="AE173" s="252"/>
      <c r="AF173" s="252"/>
      <c r="AG173" s="252"/>
      <c r="AH173" s="252"/>
    </row>
    <row r="174" spans="1:34" x14ac:dyDescent="0.2">
      <c r="A174" s="252"/>
      <c r="B174" s="252"/>
      <c r="C174" s="252"/>
      <c r="D174" s="252"/>
      <c r="E174" s="252"/>
      <c r="F174" s="252"/>
      <c r="G174" s="252"/>
      <c r="H174" s="252"/>
      <c r="I174" s="252"/>
      <c r="J174" s="252"/>
      <c r="K174" s="252"/>
      <c r="L174" s="252"/>
      <c r="M174" s="252"/>
      <c r="N174" s="252"/>
      <c r="O174" s="252"/>
      <c r="P174" s="252"/>
      <c r="Q174" s="252"/>
      <c r="R174" s="252"/>
      <c r="S174" s="252"/>
      <c r="T174" s="252"/>
      <c r="U174" s="252"/>
      <c r="V174" s="252"/>
      <c r="W174" s="252"/>
      <c r="X174" s="252"/>
      <c r="Y174" s="252"/>
      <c r="Z174" s="252"/>
      <c r="AA174" s="252"/>
      <c r="AB174" s="252"/>
      <c r="AC174" s="252"/>
      <c r="AD174" s="252"/>
      <c r="AE174" s="252"/>
      <c r="AF174" s="252"/>
      <c r="AG174" s="252"/>
      <c r="AH174" s="252"/>
    </row>
    <row r="175" spans="1:34" x14ac:dyDescent="0.2">
      <c r="A175" s="252"/>
      <c r="B175" s="252"/>
      <c r="C175" s="252"/>
      <c r="D175" s="252"/>
      <c r="E175" s="252"/>
      <c r="F175" s="252"/>
      <c r="G175" s="252"/>
      <c r="H175" s="252"/>
      <c r="I175" s="252"/>
      <c r="J175" s="252"/>
      <c r="K175" s="252"/>
      <c r="L175" s="252"/>
      <c r="M175" s="252"/>
      <c r="N175" s="252"/>
      <c r="O175" s="252"/>
      <c r="P175" s="252"/>
      <c r="Q175" s="252"/>
      <c r="R175" s="252"/>
      <c r="S175" s="252"/>
      <c r="T175" s="252"/>
      <c r="U175" s="252"/>
      <c r="V175" s="252"/>
      <c r="W175" s="252"/>
      <c r="X175" s="252"/>
      <c r="Y175" s="252"/>
      <c r="Z175" s="252"/>
      <c r="AA175" s="252"/>
      <c r="AB175" s="252"/>
      <c r="AC175" s="252"/>
      <c r="AD175" s="252"/>
      <c r="AE175" s="252"/>
      <c r="AF175" s="252"/>
      <c r="AG175" s="252"/>
      <c r="AH175" s="252"/>
    </row>
    <row r="176" spans="1:34" x14ac:dyDescent="0.2">
      <c r="A176" s="252"/>
      <c r="B176" s="252"/>
      <c r="C176" s="252"/>
      <c r="D176" s="252"/>
      <c r="E176" s="252"/>
      <c r="F176" s="252"/>
      <c r="G176" s="252"/>
      <c r="H176" s="252"/>
      <c r="I176" s="252"/>
      <c r="J176" s="252"/>
      <c r="K176" s="252"/>
      <c r="L176" s="252"/>
      <c r="M176" s="252"/>
      <c r="N176" s="252"/>
      <c r="O176" s="252"/>
      <c r="P176" s="252"/>
      <c r="Q176" s="252"/>
      <c r="R176" s="252"/>
      <c r="S176" s="252"/>
      <c r="T176" s="252"/>
      <c r="U176" s="252"/>
      <c r="V176" s="252"/>
      <c r="W176" s="252"/>
      <c r="X176" s="252"/>
      <c r="Y176" s="252"/>
      <c r="Z176" s="252"/>
      <c r="AA176" s="252"/>
      <c r="AB176" s="252"/>
      <c r="AC176" s="252"/>
      <c r="AD176" s="252"/>
      <c r="AE176" s="252"/>
      <c r="AF176" s="252"/>
      <c r="AG176" s="252"/>
      <c r="AH176" s="252"/>
    </row>
    <row r="177" spans="1:34" x14ac:dyDescent="0.2">
      <c r="A177" s="252"/>
      <c r="B177" s="252"/>
      <c r="C177" s="252"/>
      <c r="D177" s="252"/>
      <c r="E177" s="252"/>
      <c r="F177" s="252"/>
      <c r="G177" s="252"/>
      <c r="H177" s="252"/>
      <c r="I177" s="252"/>
      <c r="J177" s="252"/>
      <c r="K177" s="252"/>
      <c r="L177" s="252"/>
      <c r="M177" s="252"/>
      <c r="N177" s="252"/>
      <c r="O177" s="252"/>
      <c r="P177" s="252"/>
      <c r="Q177" s="252"/>
      <c r="R177" s="252"/>
      <c r="S177" s="252"/>
      <c r="T177" s="252"/>
      <c r="U177" s="252"/>
      <c r="V177" s="252"/>
      <c r="W177" s="252"/>
      <c r="X177" s="252"/>
      <c r="Y177" s="252"/>
      <c r="Z177" s="252"/>
      <c r="AA177" s="252"/>
      <c r="AB177" s="252"/>
      <c r="AC177" s="252"/>
      <c r="AD177" s="252"/>
      <c r="AE177" s="252"/>
      <c r="AF177" s="252"/>
      <c r="AG177" s="252"/>
      <c r="AH177" s="252"/>
    </row>
    <row r="178" spans="1:34" x14ac:dyDescent="0.2">
      <c r="A178" s="252"/>
      <c r="B178" s="252"/>
      <c r="C178" s="252"/>
      <c r="D178" s="252"/>
      <c r="E178" s="252"/>
      <c r="F178" s="252"/>
      <c r="G178" s="252"/>
      <c r="H178" s="252"/>
      <c r="I178" s="252"/>
      <c r="J178" s="252"/>
      <c r="K178" s="252"/>
      <c r="L178" s="252"/>
      <c r="M178" s="252"/>
      <c r="N178" s="252"/>
      <c r="O178" s="252"/>
      <c r="P178" s="252"/>
      <c r="Q178" s="252"/>
      <c r="R178" s="252"/>
      <c r="S178" s="252"/>
      <c r="T178" s="252"/>
      <c r="U178" s="252"/>
      <c r="V178" s="252"/>
      <c r="W178" s="252"/>
      <c r="X178" s="252"/>
      <c r="Y178" s="252"/>
      <c r="Z178" s="252"/>
      <c r="AA178" s="252"/>
      <c r="AB178" s="252"/>
      <c r="AC178" s="252"/>
      <c r="AD178" s="252"/>
      <c r="AE178" s="252"/>
      <c r="AF178" s="252"/>
      <c r="AG178" s="252"/>
      <c r="AH178" s="252"/>
    </row>
    <row r="179" spans="1:34" x14ac:dyDescent="0.2">
      <c r="A179" s="252"/>
      <c r="B179" s="252"/>
      <c r="C179" s="252"/>
      <c r="D179" s="252"/>
      <c r="E179" s="252"/>
      <c r="F179" s="252"/>
      <c r="G179" s="252"/>
      <c r="H179" s="252"/>
      <c r="I179" s="252"/>
      <c r="J179" s="252"/>
      <c r="K179" s="252"/>
      <c r="L179" s="252"/>
      <c r="M179" s="252"/>
      <c r="N179" s="252"/>
      <c r="O179" s="252"/>
      <c r="P179" s="252"/>
      <c r="Q179" s="252"/>
      <c r="R179" s="252"/>
      <c r="S179" s="252"/>
      <c r="T179" s="252"/>
      <c r="U179" s="252"/>
      <c r="V179" s="252"/>
      <c r="W179" s="252"/>
      <c r="X179" s="252"/>
      <c r="Y179" s="252"/>
      <c r="Z179" s="252"/>
      <c r="AA179" s="252"/>
      <c r="AB179" s="252"/>
      <c r="AC179" s="252"/>
      <c r="AD179" s="252"/>
      <c r="AE179" s="252"/>
      <c r="AF179" s="252"/>
      <c r="AG179" s="252"/>
      <c r="AH179" s="252"/>
    </row>
    <row r="180" spans="1:34" x14ac:dyDescent="0.2">
      <c r="A180" s="252"/>
      <c r="B180" s="252"/>
      <c r="C180" s="252"/>
      <c r="D180" s="252"/>
      <c r="E180" s="252"/>
      <c r="F180" s="252"/>
      <c r="G180" s="252"/>
      <c r="H180" s="252"/>
      <c r="I180" s="252"/>
      <c r="J180" s="252"/>
      <c r="K180" s="252"/>
      <c r="L180" s="252"/>
      <c r="M180" s="252"/>
      <c r="N180" s="252"/>
      <c r="O180" s="252"/>
      <c r="P180" s="252"/>
      <c r="Q180" s="252"/>
      <c r="R180" s="252"/>
      <c r="S180" s="252"/>
      <c r="T180" s="252"/>
      <c r="U180" s="252"/>
      <c r="V180" s="252"/>
      <c r="W180" s="252"/>
      <c r="X180" s="252"/>
      <c r="Y180" s="252"/>
      <c r="Z180" s="252"/>
      <c r="AA180" s="252"/>
      <c r="AB180" s="252"/>
      <c r="AC180" s="252"/>
      <c r="AD180" s="252"/>
      <c r="AE180" s="252"/>
      <c r="AF180" s="252"/>
      <c r="AG180" s="252"/>
      <c r="AH180" s="252"/>
    </row>
    <row r="181" spans="1:34" x14ac:dyDescent="0.2">
      <c r="A181" s="252"/>
      <c r="B181" s="252"/>
      <c r="C181" s="252"/>
      <c r="D181" s="252"/>
      <c r="E181" s="252"/>
      <c r="F181" s="252"/>
      <c r="G181" s="252"/>
      <c r="H181" s="252"/>
      <c r="I181" s="252"/>
      <c r="J181" s="252"/>
      <c r="K181" s="252"/>
      <c r="L181" s="252"/>
      <c r="M181" s="252"/>
      <c r="N181" s="252"/>
      <c r="O181" s="252"/>
      <c r="P181" s="252"/>
      <c r="Q181" s="252"/>
      <c r="R181" s="252"/>
      <c r="S181" s="252"/>
      <c r="T181" s="252"/>
      <c r="U181" s="252"/>
      <c r="V181" s="252"/>
      <c r="W181" s="252"/>
      <c r="X181" s="252"/>
      <c r="Y181" s="252"/>
      <c r="Z181" s="252"/>
      <c r="AA181" s="252"/>
      <c r="AB181" s="252"/>
      <c r="AC181" s="252"/>
      <c r="AD181" s="252"/>
      <c r="AE181" s="252"/>
      <c r="AF181" s="252"/>
      <c r="AG181" s="252"/>
      <c r="AH181" s="252"/>
    </row>
    <row r="182" spans="1:34" x14ac:dyDescent="0.2">
      <c r="A182" s="252"/>
      <c r="B182" s="252"/>
      <c r="C182" s="252"/>
      <c r="D182" s="252"/>
      <c r="E182" s="252"/>
      <c r="F182" s="252"/>
      <c r="G182" s="252"/>
      <c r="H182" s="252"/>
      <c r="I182" s="252"/>
      <c r="J182" s="252"/>
      <c r="K182" s="252"/>
      <c r="L182" s="252"/>
      <c r="M182" s="252"/>
      <c r="N182" s="252"/>
      <c r="O182" s="252"/>
      <c r="P182" s="252"/>
      <c r="Q182" s="252"/>
      <c r="R182" s="252"/>
      <c r="S182" s="252"/>
      <c r="T182" s="252"/>
      <c r="U182" s="252"/>
      <c r="V182" s="252"/>
      <c r="W182" s="252"/>
      <c r="X182" s="252"/>
      <c r="Y182" s="252"/>
      <c r="Z182" s="252"/>
      <c r="AA182" s="252"/>
      <c r="AB182" s="252"/>
      <c r="AC182" s="252"/>
      <c r="AD182" s="252"/>
      <c r="AE182" s="252"/>
      <c r="AF182" s="252"/>
      <c r="AG182" s="252"/>
      <c r="AH182" s="252"/>
    </row>
    <row r="183" spans="1:34" x14ac:dyDescent="0.2">
      <c r="A183" s="252"/>
      <c r="B183" s="252"/>
      <c r="C183" s="252"/>
      <c r="D183" s="252"/>
      <c r="E183" s="252"/>
      <c r="F183" s="252"/>
      <c r="G183" s="252"/>
      <c r="H183" s="252"/>
      <c r="I183" s="252"/>
      <c r="J183" s="252"/>
      <c r="K183" s="252"/>
      <c r="L183" s="252"/>
      <c r="M183" s="252"/>
      <c r="N183" s="252"/>
      <c r="O183" s="252"/>
      <c r="P183" s="252"/>
      <c r="Q183" s="252"/>
      <c r="R183" s="252"/>
      <c r="S183" s="252"/>
      <c r="T183" s="252"/>
      <c r="U183" s="252"/>
      <c r="V183" s="252"/>
      <c r="W183" s="252"/>
      <c r="X183" s="252"/>
      <c r="Y183" s="252"/>
      <c r="Z183" s="252"/>
      <c r="AA183" s="252"/>
      <c r="AB183" s="252"/>
      <c r="AC183" s="252"/>
      <c r="AD183" s="252"/>
      <c r="AE183" s="252"/>
      <c r="AF183" s="252"/>
      <c r="AG183" s="252"/>
      <c r="AH183" s="252"/>
    </row>
    <row r="184" spans="1:34" x14ac:dyDescent="0.2">
      <c r="A184" s="252"/>
      <c r="B184" s="252"/>
      <c r="C184" s="252"/>
      <c r="D184" s="252"/>
      <c r="E184" s="252"/>
      <c r="F184" s="252"/>
      <c r="G184" s="252"/>
      <c r="H184" s="252"/>
      <c r="I184" s="252"/>
      <c r="J184" s="252"/>
      <c r="K184" s="252"/>
      <c r="L184" s="252"/>
      <c r="M184" s="252"/>
      <c r="N184" s="252"/>
      <c r="O184" s="252"/>
      <c r="P184" s="252"/>
      <c r="Q184" s="252"/>
      <c r="R184" s="252"/>
      <c r="S184" s="252"/>
      <c r="T184" s="252"/>
      <c r="U184" s="252"/>
      <c r="V184" s="252"/>
      <c r="W184" s="252"/>
      <c r="X184" s="252"/>
      <c r="Y184" s="252"/>
      <c r="Z184" s="252"/>
      <c r="AA184" s="252"/>
      <c r="AB184" s="252"/>
      <c r="AC184" s="252"/>
      <c r="AD184" s="252"/>
      <c r="AE184" s="252"/>
      <c r="AF184" s="252"/>
      <c r="AG184" s="252"/>
      <c r="AH184" s="252"/>
    </row>
    <row r="185" spans="1:34" x14ac:dyDescent="0.2">
      <c r="A185" s="252"/>
      <c r="B185" s="252"/>
      <c r="C185" s="252"/>
      <c r="D185" s="252"/>
      <c r="E185" s="252"/>
      <c r="F185" s="252"/>
      <c r="G185" s="252"/>
      <c r="H185" s="252"/>
      <c r="I185" s="252"/>
      <c r="J185" s="252"/>
      <c r="K185" s="252"/>
      <c r="L185" s="252"/>
      <c r="M185" s="252"/>
      <c r="N185" s="252"/>
      <c r="O185" s="252"/>
      <c r="P185" s="252"/>
      <c r="Q185" s="252"/>
      <c r="R185" s="252"/>
      <c r="S185" s="252"/>
      <c r="T185" s="252"/>
      <c r="U185" s="252"/>
      <c r="V185" s="252"/>
      <c r="W185" s="252"/>
      <c r="X185" s="252"/>
      <c r="Y185" s="252"/>
      <c r="Z185" s="252"/>
      <c r="AA185" s="252"/>
      <c r="AB185" s="252"/>
      <c r="AC185" s="252"/>
      <c r="AD185" s="252"/>
      <c r="AE185" s="252"/>
      <c r="AF185" s="252"/>
      <c r="AG185" s="252"/>
      <c r="AH185" s="252"/>
    </row>
    <row r="186" spans="1:34" x14ac:dyDescent="0.2">
      <c r="A186" s="252"/>
      <c r="B186" s="252"/>
      <c r="C186" s="252"/>
      <c r="D186" s="252"/>
      <c r="E186" s="252"/>
      <c r="F186" s="252"/>
      <c r="G186" s="252"/>
      <c r="H186" s="252"/>
      <c r="I186" s="252"/>
      <c r="J186" s="252"/>
      <c r="K186" s="252"/>
      <c r="L186" s="252"/>
      <c r="M186" s="252"/>
      <c r="N186" s="252"/>
      <c r="O186" s="252"/>
      <c r="P186" s="252"/>
      <c r="Q186" s="252"/>
      <c r="R186" s="252"/>
      <c r="S186" s="252"/>
      <c r="T186" s="252"/>
      <c r="U186" s="252"/>
      <c r="V186" s="252"/>
      <c r="W186" s="252"/>
      <c r="X186" s="252"/>
      <c r="Y186" s="252"/>
      <c r="Z186" s="252"/>
      <c r="AA186" s="252"/>
      <c r="AB186" s="252"/>
      <c r="AC186" s="252"/>
      <c r="AD186" s="252"/>
      <c r="AE186" s="252"/>
      <c r="AF186" s="252"/>
      <c r="AG186" s="252"/>
      <c r="AH186" s="252"/>
    </row>
    <row r="187" spans="1:34" x14ac:dyDescent="0.2">
      <c r="A187" s="252"/>
      <c r="B187" s="252"/>
      <c r="C187" s="252"/>
      <c r="D187" s="252"/>
      <c r="E187" s="252"/>
      <c r="F187" s="252"/>
      <c r="G187" s="252"/>
      <c r="H187" s="252"/>
      <c r="I187" s="252"/>
      <c r="J187" s="252"/>
      <c r="K187" s="252"/>
      <c r="L187" s="252"/>
      <c r="M187" s="252"/>
      <c r="N187" s="252"/>
      <c r="O187" s="252"/>
      <c r="P187" s="252"/>
      <c r="Q187" s="252"/>
      <c r="R187" s="252"/>
      <c r="S187" s="252"/>
      <c r="T187" s="252"/>
      <c r="U187" s="252"/>
      <c r="V187" s="252"/>
      <c r="W187" s="252"/>
      <c r="X187" s="252"/>
      <c r="Y187" s="252"/>
      <c r="Z187" s="252"/>
      <c r="AA187" s="252"/>
      <c r="AB187" s="252"/>
      <c r="AC187" s="252"/>
      <c r="AD187" s="252"/>
      <c r="AE187" s="252"/>
      <c r="AF187" s="252"/>
      <c r="AG187" s="252"/>
      <c r="AH187" s="252"/>
    </row>
    <row r="188" spans="1:34" x14ac:dyDescent="0.2">
      <c r="A188" s="252"/>
      <c r="B188" s="252"/>
      <c r="C188" s="252"/>
      <c r="D188" s="252"/>
      <c r="E188" s="252"/>
      <c r="F188" s="252"/>
      <c r="G188" s="252"/>
      <c r="H188" s="252"/>
      <c r="I188" s="252"/>
      <c r="J188" s="252"/>
      <c r="K188" s="252"/>
      <c r="L188" s="252"/>
      <c r="M188" s="252"/>
      <c r="N188" s="252"/>
      <c r="O188" s="252"/>
      <c r="P188" s="252"/>
      <c r="Q188" s="252"/>
      <c r="R188" s="252"/>
      <c r="S188" s="252"/>
      <c r="T188" s="252"/>
      <c r="U188" s="252"/>
      <c r="V188" s="252"/>
      <c r="W188" s="252"/>
      <c r="X188" s="252"/>
      <c r="Y188" s="252"/>
      <c r="Z188" s="252"/>
      <c r="AA188" s="252"/>
      <c r="AB188" s="252"/>
      <c r="AC188" s="252"/>
      <c r="AD188" s="252"/>
      <c r="AE188" s="252"/>
      <c r="AF188" s="252"/>
      <c r="AG188" s="252"/>
      <c r="AH188" s="252"/>
    </row>
    <row r="189" spans="1:34" x14ac:dyDescent="0.2">
      <c r="A189" s="252"/>
      <c r="B189" s="252"/>
      <c r="C189" s="252"/>
      <c r="D189" s="252"/>
      <c r="E189" s="252"/>
      <c r="F189" s="252"/>
      <c r="G189" s="252"/>
      <c r="H189" s="252"/>
      <c r="I189" s="252"/>
      <c r="J189" s="252"/>
      <c r="K189" s="252"/>
      <c r="L189" s="252"/>
      <c r="M189" s="252"/>
      <c r="N189" s="252"/>
      <c r="O189" s="252"/>
      <c r="P189" s="252"/>
      <c r="Q189" s="252"/>
      <c r="R189" s="252"/>
      <c r="S189" s="252"/>
      <c r="T189" s="252"/>
      <c r="U189" s="252"/>
      <c r="V189" s="252"/>
      <c r="W189" s="252"/>
      <c r="X189" s="252"/>
      <c r="Y189" s="252"/>
      <c r="Z189" s="252"/>
      <c r="AA189" s="252"/>
      <c r="AB189" s="252"/>
      <c r="AC189" s="252"/>
      <c r="AD189" s="252"/>
      <c r="AE189" s="252"/>
      <c r="AF189" s="252"/>
      <c r="AG189" s="252"/>
      <c r="AH189" s="252"/>
    </row>
    <row r="190" spans="1:34" x14ac:dyDescent="0.2">
      <c r="A190" s="252"/>
      <c r="B190" s="252"/>
      <c r="C190" s="252"/>
      <c r="D190" s="252"/>
      <c r="E190" s="252"/>
      <c r="F190" s="252"/>
      <c r="G190" s="252"/>
      <c r="H190" s="252"/>
      <c r="I190" s="252"/>
      <c r="J190" s="252"/>
      <c r="K190" s="252"/>
      <c r="L190" s="252"/>
      <c r="M190" s="252"/>
      <c r="N190" s="252"/>
      <c r="O190" s="252"/>
      <c r="P190" s="252"/>
      <c r="Q190" s="252"/>
      <c r="R190" s="252"/>
      <c r="S190" s="252"/>
      <c r="T190" s="252"/>
      <c r="U190" s="252"/>
      <c r="V190" s="252"/>
      <c r="W190" s="252"/>
      <c r="X190" s="252"/>
      <c r="Y190" s="252"/>
      <c r="Z190" s="252"/>
      <c r="AA190" s="252"/>
      <c r="AB190" s="252"/>
      <c r="AC190" s="252"/>
      <c r="AD190" s="252"/>
      <c r="AE190" s="252"/>
      <c r="AF190" s="252"/>
      <c r="AG190" s="252"/>
      <c r="AH190" s="252"/>
    </row>
    <row r="191" spans="1:34" x14ac:dyDescent="0.2">
      <c r="A191" s="252"/>
      <c r="B191" s="252"/>
      <c r="C191" s="252"/>
      <c r="D191" s="252"/>
      <c r="E191" s="252"/>
      <c r="F191" s="252"/>
      <c r="G191" s="252"/>
      <c r="H191" s="252"/>
      <c r="I191" s="252"/>
      <c r="J191" s="252"/>
      <c r="K191" s="252"/>
      <c r="L191" s="252"/>
      <c r="M191" s="252"/>
      <c r="N191" s="252"/>
      <c r="O191" s="252"/>
      <c r="P191" s="252"/>
      <c r="Q191" s="252"/>
      <c r="R191" s="252"/>
      <c r="S191" s="252"/>
      <c r="T191" s="252"/>
      <c r="U191" s="252"/>
      <c r="V191" s="252"/>
      <c r="W191" s="252"/>
      <c r="X191" s="252"/>
      <c r="Y191" s="252"/>
      <c r="Z191" s="252"/>
      <c r="AA191" s="252"/>
      <c r="AB191" s="252"/>
      <c r="AC191" s="252"/>
      <c r="AD191" s="252"/>
      <c r="AE191" s="252"/>
      <c r="AF191" s="252"/>
      <c r="AG191" s="252"/>
      <c r="AH191" s="252"/>
    </row>
    <row r="192" spans="1:34" x14ac:dyDescent="0.2">
      <c r="A192" s="252"/>
      <c r="B192" s="252"/>
      <c r="C192" s="252"/>
      <c r="D192" s="252"/>
      <c r="E192" s="252"/>
      <c r="F192" s="252"/>
      <c r="G192" s="252"/>
      <c r="H192" s="252"/>
      <c r="I192" s="252"/>
      <c r="J192" s="252"/>
      <c r="K192" s="252"/>
      <c r="L192" s="252"/>
      <c r="M192" s="252"/>
      <c r="N192" s="252"/>
      <c r="O192" s="252"/>
      <c r="P192" s="252"/>
      <c r="Q192" s="252"/>
      <c r="R192" s="252"/>
      <c r="S192" s="252"/>
      <c r="T192" s="252"/>
      <c r="U192" s="252"/>
      <c r="V192" s="252"/>
      <c r="W192" s="252"/>
      <c r="X192" s="252"/>
      <c r="Y192" s="252"/>
      <c r="Z192" s="252"/>
      <c r="AA192" s="252"/>
      <c r="AB192" s="252"/>
      <c r="AC192" s="252"/>
      <c r="AD192" s="252"/>
      <c r="AE192" s="252"/>
      <c r="AF192" s="252"/>
      <c r="AG192" s="252"/>
      <c r="AH192" s="252"/>
    </row>
    <row r="193" spans="1:34" x14ac:dyDescent="0.2">
      <c r="A193" s="252"/>
      <c r="B193" s="252"/>
      <c r="C193" s="252"/>
      <c r="D193" s="252"/>
      <c r="E193" s="252"/>
      <c r="F193" s="252"/>
      <c r="G193" s="252"/>
      <c r="H193" s="252"/>
      <c r="I193" s="252"/>
      <c r="J193" s="252"/>
      <c r="K193" s="252"/>
      <c r="L193" s="252"/>
      <c r="M193" s="252"/>
      <c r="N193" s="252"/>
      <c r="O193" s="252"/>
      <c r="P193" s="252"/>
      <c r="Q193" s="252"/>
      <c r="R193" s="252"/>
      <c r="S193" s="252"/>
      <c r="T193" s="252"/>
      <c r="U193" s="252"/>
      <c r="V193" s="252"/>
      <c r="W193" s="252"/>
      <c r="X193" s="252"/>
      <c r="Y193" s="252"/>
      <c r="Z193" s="252"/>
      <c r="AA193" s="252"/>
      <c r="AB193" s="252"/>
      <c r="AC193" s="252"/>
      <c r="AD193" s="252"/>
      <c r="AE193" s="252"/>
      <c r="AF193" s="252"/>
      <c r="AG193" s="252"/>
      <c r="AH193" s="252"/>
    </row>
    <row r="194" spans="1:34" x14ac:dyDescent="0.2">
      <c r="A194" s="252"/>
      <c r="B194" s="252"/>
      <c r="C194" s="252"/>
      <c r="D194" s="252"/>
      <c r="E194" s="252"/>
      <c r="F194" s="252"/>
      <c r="G194" s="252"/>
      <c r="H194" s="252"/>
      <c r="I194" s="252"/>
      <c r="J194" s="252"/>
      <c r="K194" s="252"/>
      <c r="L194" s="252"/>
      <c r="M194" s="252"/>
      <c r="N194" s="252"/>
      <c r="O194" s="252"/>
      <c r="P194" s="252"/>
      <c r="Q194" s="252"/>
      <c r="R194" s="252"/>
      <c r="S194" s="252"/>
      <c r="T194" s="252"/>
      <c r="U194" s="252"/>
      <c r="V194" s="252"/>
      <c r="W194" s="252"/>
      <c r="X194" s="252"/>
      <c r="Y194" s="252"/>
      <c r="Z194" s="252"/>
      <c r="AA194" s="252"/>
      <c r="AB194" s="252"/>
      <c r="AC194" s="252"/>
      <c r="AD194" s="252"/>
      <c r="AE194" s="252"/>
      <c r="AF194" s="252"/>
      <c r="AG194" s="252"/>
      <c r="AH194" s="252"/>
    </row>
    <row r="195" spans="1:34" x14ac:dyDescent="0.2">
      <c r="A195" s="252"/>
      <c r="B195" s="252"/>
      <c r="C195" s="252"/>
      <c r="D195" s="252"/>
      <c r="E195" s="252"/>
      <c r="F195" s="252"/>
      <c r="G195" s="252"/>
      <c r="H195" s="252"/>
      <c r="I195" s="252"/>
      <c r="J195" s="252"/>
      <c r="K195" s="252"/>
      <c r="L195" s="252"/>
      <c r="M195" s="252"/>
      <c r="N195" s="252"/>
      <c r="O195" s="252"/>
      <c r="P195" s="252"/>
      <c r="Q195" s="252"/>
      <c r="R195" s="252"/>
      <c r="S195" s="252"/>
      <c r="T195" s="252"/>
      <c r="U195" s="252"/>
      <c r="V195" s="252"/>
      <c r="W195" s="252"/>
      <c r="X195" s="252"/>
      <c r="Y195" s="252"/>
      <c r="Z195" s="252"/>
      <c r="AA195" s="252"/>
      <c r="AB195" s="252"/>
      <c r="AC195" s="252"/>
      <c r="AD195" s="252"/>
      <c r="AE195" s="252"/>
      <c r="AF195" s="252"/>
      <c r="AG195" s="252"/>
      <c r="AH195" s="252"/>
    </row>
    <row r="196" spans="1:34" x14ac:dyDescent="0.2">
      <c r="A196" s="252"/>
      <c r="B196" s="252"/>
      <c r="C196" s="252"/>
      <c r="D196" s="252"/>
      <c r="E196" s="252"/>
      <c r="F196" s="252"/>
      <c r="G196" s="252"/>
      <c r="H196" s="252"/>
      <c r="I196" s="252"/>
      <c r="J196" s="252"/>
      <c r="K196" s="252"/>
      <c r="L196" s="252"/>
      <c r="M196" s="252"/>
      <c r="N196" s="252"/>
      <c r="O196" s="252"/>
      <c r="P196" s="252"/>
      <c r="Q196" s="252"/>
      <c r="R196" s="252"/>
      <c r="S196" s="252"/>
      <c r="T196" s="252"/>
      <c r="U196" s="252"/>
      <c r="V196" s="252"/>
      <c r="W196" s="252"/>
      <c r="X196" s="252"/>
      <c r="Y196" s="252"/>
      <c r="Z196" s="252"/>
      <c r="AA196" s="252"/>
      <c r="AB196" s="252"/>
      <c r="AC196" s="252"/>
      <c r="AD196" s="252"/>
      <c r="AE196" s="252"/>
      <c r="AF196" s="252"/>
      <c r="AG196" s="252"/>
      <c r="AH196" s="252"/>
    </row>
    <row r="197" spans="1:34" x14ac:dyDescent="0.2">
      <c r="A197" s="252"/>
      <c r="B197" s="252"/>
      <c r="C197" s="252"/>
      <c r="D197" s="252"/>
      <c r="E197" s="252"/>
      <c r="F197" s="252"/>
      <c r="G197" s="252"/>
      <c r="H197" s="252"/>
      <c r="I197" s="252"/>
      <c r="J197" s="252"/>
      <c r="K197" s="252"/>
      <c r="L197" s="252"/>
      <c r="M197" s="252"/>
      <c r="N197" s="252"/>
      <c r="O197" s="252"/>
      <c r="P197" s="252"/>
      <c r="Q197" s="252"/>
      <c r="R197" s="252"/>
      <c r="S197" s="252"/>
      <c r="T197" s="252"/>
      <c r="U197" s="252"/>
      <c r="V197" s="252"/>
      <c r="W197" s="252"/>
      <c r="X197" s="252"/>
      <c r="Y197" s="252"/>
      <c r="Z197" s="252"/>
      <c r="AA197" s="252"/>
      <c r="AB197" s="252"/>
      <c r="AC197" s="252"/>
      <c r="AD197" s="252"/>
      <c r="AE197" s="252"/>
      <c r="AF197" s="252"/>
      <c r="AG197" s="252"/>
      <c r="AH197" s="252"/>
    </row>
    <row r="198" spans="1:34" x14ac:dyDescent="0.2">
      <c r="A198" s="252"/>
      <c r="B198" s="252"/>
      <c r="C198" s="252"/>
      <c r="D198" s="252"/>
      <c r="E198" s="252"/>
      <c r="F198" s="252"/>
      <c r="G198" s="252"/>
      <c r="H198" s="252"/>
      <c r="I198" s="252"/>
      <c r="J198" s="252"/>
      <c r="K198" s="252"/>
      <c r="L198" s="252"/>
      <c r="M198" s="252"/>
      <c r="N198" s="252"/>
      <c r="O198" s="252"/>
      <c r="P198" s="252"/>
      <c r="Q198" s="252"/>
      <c r="R198" s="252"/>
      <c r="S198" s="252"/>
      <c r="T198" s="252"/>
      <c r="U198" s="252"/>
      <c r="V198" s="252"/>
      <c r="W198" s="252"/>
      <c r="X198" s="252"/>
      <c r="Y198" s="252"/>
      <c r="Z198" s="252"/>
      <c r="AA198" s="252"/>
      <c r="AB198" s="252"/>
      <c r="AC198" s="252"/>
      <c r="AD198" s="252"/>
      <c r="AE198" s="252"/>
      <c r="AF198" s="252"/>
      <c r="AG198" s="252"/>
      <c r="AH198" s="252"/>
    </row>
    <row r="199" spans="1:34" x14ac:dyDescent="0.2">
      <c r="A199" s="252"/>
      <c r="B199" s="252"/>
      <c r="C199" s="252"/>
      <c r="D199" s="252"/>
      <c r="E199" s="252"/>
      <c r="F199" s="252"/>
      <c r="G199" s="252"/>
      <c r="H199" s="252"/>
      <c r="I199" s="252"/>
      <c r="J199" s="252"/>
      <c r="K199" s="252"/>
      <c r="L199" s="252"/>
      <c r="M199" s="252"/>
      <c r="N199" s="252"/>
      <c r="O199" s="252"/>
      <c r="P199" s="252"/>
      <c r="Q199" s="252"/>
      <c r="R199" s="252"/>
      <c r="S199" s="252"/>
      <c r="T199" s="252"/>
      <c r="U199" s="252"/>
      <c r="V199" s="252"/>
      <c r="W199" s="252"/>
      <c r="X199" s="252"/>
      <c r="Y199" s="252"/>
      <c r="Z199" s="252"/>
      <c r="AA199" s="252"/>
      <c r="AB199" s="252"/>
      <c r="AC199" s="252"/>
      <c r="AD199" s="252"/>
      <c r="AE199" s="252"/>
      <c r="AF199" s="252"/>
      <c r="AG199" s="252"/>
      <c r="AH199" s="252"/>
    </row>
    <row r="200" spans="1:34" x14ac:dyDescent="0.2">
      <c r="A200" s="252"/>
      <c r="B200" s="252"/>
      <c r="C200" s="252"/>
      <c r="D200" s="252"/>
      <c r="E200" s="252"/>
      <c r="F200" s="252"/>
      <c r="G200" s="252"/>
      <c r="H200" s="252"/>
      <c r="I200" s="252"/>
      <c r="J200" s="252"/>
      <c r="K200" s="252"/>
      <c r="L200" s="252"/>
      <c r="M200" s="252"/>
      <c r="N200" s="252"/>
      <c r="O200" s="252"/>
      <c r="P200" s="252"/>
      <c r="Q200" s="252"/>
      <c r="R200" s="252"/>
      <c r="S200" s="252"/>
      <c r="T200" s="252"/>
      <c r="U200" s="252"/>
      <c r="V200" s="252"/>
      <c r="W200" s="252"/>
      <c r="X200" s="252"/>
      <c r="Y200" s="252"/>
      <c r="Z200" s="252"/>
      <c r="AA200" s="252"/>
      <c r="AB200" s="252"/>
      <c r="AC200" s="252"/>
      <c r="AD200" s="252"/>
      <c r="AE200" s="252"/>
      <c r="AF200" s="252"/>
      <c r="AG200" s="252"/>
      <c r="AH200" s="252"/>
    </row>
    <row r="201" spans="1:34" x14ac:dyDescent="0.2">
      <c r="A201" s="252"/>
      <c r="B201" s="252"/>
      <c r="C201" s="252"/>
      <c r="D201" s="252"/>
      <c r="E201" s="252"/>
      <c r="F201" s="252"/>
      <c r="G201" s="252"/>
      <c r="H201" s="252"/>
      <c r="I201" s="252"/>
      <c r="J201" s="252"/>
      <c r="K201" s="252"/>
      <c r="L201" s="252"/>
      <c r="M201" s="252"/>
      <c r="N201" s="252"/>
      <c r="O201" s="252"/>
      <c r="P201" s="252"/>
      <c r="Q201" s="252"/>
      <c r="R201" s="252"/>
      <c r="S201" s="252"/>
      <c r="T201" s="252"/>
      <c r="U201" s="252"/>
      <c r="V201" s="252"/>
      <c r="W201" s="252"/>
      <c r="X201" s="252"/>
      <c r="Y201" s="252"/>
      <c r="Z201" s="252"/>
      <c r="AA201" s="252"/>
      <c r="AB201" s="252"/>
      <c r="AC201" s="252"/>
      <c r="AD201" s="252"/>
      <c r="AE201" s="252"/>
      <c r="AF201" s="252"/>
      <c r="AG201" s="252"/>
      <c r="AH201" s="252"/>
    </row>
    <row r="202" spans="1:34" x14ac:dyDescent="0.2">
      <c r="A202" s="252"/>
      <c r="B202" s="252"/>
      <c r="C202" s="252"/>
      <c r="D202" s="252"/>
      <c r="E202" s="252"/>
      <c r="F202" s="252"/>
      <c r="G202" s="252"/>
      <c r="H202" s="252"/>
      <c r="I202" s="252"/>
      <c r="J202" s="252"/>
      <c r="K202" s="252"/>
      <c r="L202" s="252"/>
      <c r="M202" s="252"/>
      <c r="N202" s="252"/>
      <c r="O202" s="252"/>
      <c r="P202" s="252"/>
      <c r="Q202" s="252"/>
      <c r="R202" s="252"/>
      <c r="S202" s="252"/>
      <c r="T202" s="252"/>
      <c r="U202" s="252"/>
      <c r="V202" s="252"/>
      <c r="W202" s="252"/>
      <c r="X202" s="252"/>
      <c r="Y202" s="252"/>
      <c r="Z202" s="252"/>
      <c r="AA202" s="252"/>
      <c r="AB202" s="252"/>
      <c r="AC202" s="252"/>
      <c r="AD202" s="252"/>
      <c r="AE202" s="252"/>
      <c r="AF202" s="252"/>
      <c r="AG202" s="252"/>
      <c r="AH202" s="252"/>
    </row>
    <row r="203" spans="1:34" x14ac:dyDescent="0.2">
      <c r="A203" s="252"/>
      <c r="B203" s="252"/>
      <c r="C203" s="252"/>
      <c r="D203" s="252"/>
      <c r="E203" s="252"/>
      <c r="F203" s="252"/>
      <c r="G203" s="252"/>
      <c r="H203" s="252"/>
      <c r="I203" s="252"/>
      <c r="J203" s="252"/>
      <c r="K203" s="252"/>
      <c r="L203" s="252"/>
      <c r="M203" s="252"/>
      <c r="N203" s="252"/>
      <c r="O203" s="252"/>
      <c r="P203" s="252"/>
      <c r="Q203" s="252"/>
      <c r="R203" s="252"/>
      <c r="S203" s="252"/>
      <c r="T203" s="252"/>
      <c r="U203" s="252"/>
      <c r="V203" s="252"/>
      <c r="W203" s="252"/>
      <c r="X203" s="252"/>
      <c r="Y203" s="252"/>
      <c r="Z203" s="252"/>
      <c r="AA203" s="252"/>
      <c r="AB203" s="252"/>
      <c r="AC203" s="252"/>
      <c r="AD203" s="252"/>
      <c r="AE203" s="252"/>
      <c r="AF203" s="252"/>
      <c r="AG203" s="252"/>
      <c r="AH203" s="252"/>
    </row>
    <row r="204" spans="1:34" x14ac:dyDescent="0.2">
      <c r="A204" s="252"/>
      <c r="B204" s="252"/>
      <c r="C204" s="252"/>
      <c r="D204" s="252"/>
      <c r="E204" s="252"/>
      <c r="F204" s="252"/>
      <c r="G204" s="252"/>
      <c r="H204" s="252"/>
      <c r="I204" s="252"/>
      <c r="J204" s="252"/>
      <c r="K204" s="252"/>
      <c r="L204" s="252"/>
      <c r="M204" s="252"/>
      <c r="N204" s="252"/>
      <c r="O204" s="252"/>
      <c r="P204" s="252"/>
      <c r="Q204" s="252"/>
      <c r="R204" s="252"/>
      <c r="S204" s="252"/>
      <c r="T204" s="252"/>
      <c r="U204" s="252"/>
      <c r="V204" s="252"/>
      <c r="W204" s="252"/>
      <c r="X204" s="252"/>
      <c r="Y204" s="252"/>
      <c r="Z204" s="252"/>
      <c r="AA204" s="252"/>
      <c r="AB204" s="252"/>
      <c r="AC204" s="252"/>
      <c r="AD204" s="252"/>
      <c r="AE204" s="252"/>
      <c r="AF204" s="252"/>
      <c r="AG204" s="252"/>
      <c r="AH204" s="252"/>
    </row>
    <row r="205" spans="1:34" x14ac:dyDescent="0.2">
      <c r="A205" s="252"/>
      <c r="B205" s="252"/>
      <c r="C205" s="252"/>
      <c r="D205" s="252"/>
      <c r="E205" s="252"/>
      <c r="F205" s="252"/>
      <c r="G205" s="252"/>
      <c r="H205" s="252"/>
      <c r="I205" s="252"/>
      <c r="J205" s="252"/>
      <c r="K205" s="252"/>
      <c r="L205" s="252"/>
      <c r="M205" s="252"/>
      <c r="N205" s="252"/>
      <c r="O205" s="252"/>
      <c r="P205" s="252"/>
      <c r="Q205" s="252"/>
      <c r="R205" s="252"/>
      <c r="S205" s="252"/>
      <c r="T205" s="252"/>
      <c r="U205" s="252"/>
      <c r="V205" s="252"/>
      <c r="W205" s="252"/>
      <c r="X205" s="252"/>
      <c r="Y205" s="252"/>
      <c r="Z205" s="252"/>
      <c r="AA205" s="252"/>
      <c r="AB205" s="252"/>
      <c r="AC205" s="252"/>
      <c r="AD205" s="252"/>
      <c r="AE205" s="252"/>
      <c r="AF205" s="252"/>
      <c r="AG205" s="252"/>
      <c r="AH205" s="252"/>
    </row>
    <row r="206" spans="1:34" x14ac:dyDescent="0.2">
      <c r="A206" s="252"/>
      <c r="B206" s="252"/>
      <c r="C206" s="252"/>
      <c r="D206" s="252"/>
      <c r="E206" s="252"/>
      <c r="F206" s="252"/>
      <c r="G206" s="252"/>
      <c r="H206" s="252"/>
      <c r="I206" s="252"/>
      <c r="J206" s="252"/>
      <c r="K206" s="252"/>
      <c r="L206" s="252"/>
      <c r="M206" s="252"/>
      <c r="N206" s="252"/>
      <c r="O206" s="252"/>
      <c r="P206" s="252"/>
      <c r="Q206" s="252"/>
      <c r="R206" s="252"/>
      <c r="S206" s="252"/>
      <c r="T206" s="252"/>
      <c r="U206" s="252"/>
      <c r="V206" s="252"/>
      <c r="W206" s="252"/>
      <c r="X206" s="252"/>
      <c r="Y206" s="252"/>
      <c r="Z206" s="252"/>
      <c r="AA206" s="252"/>
      <c r="AB206" s="252"/>
      <c r="AC206" s="252"/>
      <c r="AD206" s="252"/>
      <c r="AE206" s="252"/>
      <c r="AF206" s="252"/>
      <c r="AG206" s="252"/>
      <c r="AH206" s="252"/>
    </row>
    <row r="207" spans="1:34" x14ac:dyDescent="0.2">
      <c r="A207" s="252"/>
      <c r="B207" s="252"/>
      <c r="C207" s="252"/>
      <c r="D207" s="252"/>
      <c r="E207" s="252"/>
      <c r="F207" s="252"/>
      <c r="G207" s="252"/>
      <c r="H207" s="252"/>
      <c r="I207" s="252"/>
      <c r="J207" s="252"/>
      <c r="K207" s="252"/>
      <c r="L207" s="252"/>
      <c r="M207" s="252"/>
      <c r="N207" s="252"/>
      <c r="O207" s="252"/>
      <c r="P207" s="252"/>
      <c r="Q207" s="252"/>
      <c r="R207" s="252"/>
      <c r="S207" s="252"/>
      <c r="T207" s="252"/>
      <c r="U207" s="252"/>
      <c r="V207" s="252"/>
      <c r="W207" s="252"/>
      <c r="X207" s="252"/>
      <c r="Y207" s="252"/>
      <c r="Z207" s="252"/>
      <c r="AA207" s="252"/>
      <c r="AB207" s="252"/>
      <c r="AC207" s="252"/>
      <c r="AD207" s="252"/>
      <c r="AE207" s="252"/>
      <c r="AF207" s="252"/>
      <c r="AG207" s="252"/>
      <c r="AH207" s="252"/>
    </row>
    <row r="208" spans="1:34" x14ac:dyDescent="0.2">
      <c r="A208" s="252"/>
      <c r="B208" s="252"/>
      <c r="C208" s="252"/>
      <c r="D208" s="252"/>
      <c r="E208" s="252"/>
      <c r="F208" s="252"/>
      <c r="G208" s="252"/>
      <c r="H208" s="252"/>
      <c r="I208" s="252"/>
      <c r="J208" s="252"/>
      <c r="K208" s="252"/>
      <c r="L208" s="252"/>
      <c r="M208" s="252"/>
      <c r="N208" s="252"/>
      <c r="O208" s="252"/>
      <c r="P208" s="252"/>
      <c r="Q208" s="252"/>
      <c r="R208" s="252"/>
      <c r="S208" s="252"/>
      <c r="T208" s="252"/>
      <c r="U208" s="252"/>
      <c r="V208" s="252"/>
      <c r="W208" s="252"/>
      <c r="X208" s="252"/>
      <c r="Y208" s="252"/>
      <c r="Z208" s="252"/>
      <c r="AA208" s="252"/>
      <c r="AB208" s="252"/>
      <c r="AC208" s="252"/>
      <c r="AD208" s="252"/>
      <c r="AE208" s="252"/>
      <c r="AF208" s="252"/>
      <c r="AG208" s="252"/>
      <c r="AH208" s="252"/>
    </row>
    <row r="209" spans="1:34" x14ac:dyDescent="0.2">
      <c r="A209" s="252"/>
      <c r="B209" s="252"/>
      <c r="C209" s="252"/>
      <c r="D209" s="252"/>
      <c r="E209" s="252"/>
      <c r="F209" s="252"/>
      <c r="G209" s="252"/>
      <c r="H209" s="252"/>
      <c r="I209" s="252"/>
      <c r="J209" s="252"/>
      <c r="K209" s="252"/>
      <c r="L209" s="252"/>
      <c r="M209" s="252"/>
      <c r="N209" s="252"/>
      <c r="O209" s="252"/>
      <c r="P209" s="252"/>
      <c r="Q209" s="252"/>
      <c r="R209" s="252"/>
      <c r="S209" s="252"/>
      <c r="T209" s="252"/>
      <c r="U209" s="252"/>
      <c r="V209" s="252"/>
      <c r="W209" s="252"/>
      <c r="X209" s="252"/>
      <c r="Y209" s="252"/>
      <c r="Z209" s="252"/>
      <c r="AA209" s="252"/>
      <c r="AB209" s="252"/>
      <c r="AC209" s="252"/>
      <c r="AD209" s="252"/>
      <c r="AE209" s="252"/>
      <c r="AF209" s="252"/>
      <c r="AG209" s="252"/>
      <c r="AH209" s="252"/>
    </row>
    <row r="210" spans="1:34" x14ac:dyDescent="0.2">
      <c r="A210" s="252"/>
      <c r="B210" s="252"/>
      <c r="C210" s="252"/>
      <c r="D210" s="252"/>
      <c r="E210" s="252"/>
      <c r="F210" s="252"/>
      <c r="G210" s="252"/>
      <c r="H210" s="252"/>
      <c r="I210" s="252"/>
      <c r="J210" s="252"/>
      <c r="K210" s="252"/>
      <c r="L210" s="252"/>
      <c r="M210" s="252"/>
      <c r="N210" s="252"/>
      <c r="O210" s="252"/>
      <c r="P210" s="252"/>
      <c r="Q210" s="252"/>
      <c r="R210" s="252"/>
      <c r="S210" s="252"/>
      <c r="T210" s="252"/>
      <c r="U210" s="252"/>
      <c r="V210" s="252"/>
      <c r="W210" s="252"/>
      <c r="X210" s="252"/>
      <c r="Y210" s="252"/>
      <c r="Z210" s="252"/>
      <c r="AA210" s="252"/>
      <c r="AB210" s="252"/>
      <c r="AC210" s="252"/>
      <c r="AD210" s="252"/>
      <c r="AE210" s="252"/>
      <c r="AF210" s="252"/>
      <c r="AG210" s="252"/>
      <c r="AH210" s="252"/>
    </row>
    <row r="211" spans="1:34" x14ac:dyDescent="0.2">
      <c r="A211" s="252"/>
      <c r="B211" s="252"/>
      <c r="C211" s="252"/>
      <c r="D211" s="252"/>
      <c r="E211" s="252"/>
      <c r="F211" s="252"/>
      <c r="G211" s="252"/>
      <c r="H211" s="252"/>
      <c r="I211" s="252"/>
      <c r="J211" s="252"/>
      <c r="K211" s="252"/>
      <c r="L211" s="252"/>
      <c r="M211" s="252"/>
      <c r="N211" s="252"/>
      <c r="O211" s="252"/>
      <c r="P211" s="252"/>
      <c r="Q211" s="252"/>
      <c r="R211" s="252"/>
      <c r="S211" s="252"/>
      <c r="T211" s="252"/>
      <c r="U211" s="252"/>
      <c r="V211" s="252"/>
      <c r="W211" s="252"/>
      <c r="X211" s="252"/>
      <c r="Y211" s="252"/>
      <c r="Z211" s="252"/>
      <c r="AA211" s="252"/>
      <c r="AB211" s="252"/>
      <c r="AC211" s="252"/>
      <c r="AD211" s="252"/>
      <c r="AE211" s="252"/>
      <c r="AF211" s="252"/>
      <c r="AG211" s="252"/>
      <c r="AH211" s="252"/>
    </row>
    <row r="212" spans="1:34" x14ac:dyDescent="0.2">
      <c r="A212" s="252"/>
      <c r="B212" s="252"/>
      <c r="C212" s="252"/>
      <c r="D212" s="252"/>
      <c r="E212" s="252"/>
      <c r="F212" s="252"/>
      <c r="G212" s="252"/>
      <c r="H212" s="252"/>
      <c r="I212" s="252"/>
      <c r="J212" s="252"/>
      <c r="K212" s="252"/>
      <c r="L212" s="252"/>
      <c r="M212" s="252"/>
      <c r="N212" s="252"/>
      <c r="O212" s="252"/>
      <c r="P212" s="252"/>
      <c r="Q212" s="252"/>
      <c r="R212" s="252"/>
      <c r="S212" s="252"/>
      <c r="T212" s="252"/>
      <c r="U212" s="252"/>
      <c r="V212" s="252"/>
      <c r="W212" s="252"/>
      <c r="X212" s="252"/>
      <c r="Y212" s="252"/>
      <c r="Z212" s="252"/>
      <c r="AA212" s="252"/>
      <c r="AB212" s="252"/>
      <c r="AC212" s="252"/>
      <c r="AD212" s="252"/>
      <c r="AE212" s="252"/>
      <c r="AF212" s="252"/>
      <c r="AG212" s="252"/>
      <c r="AH212" s="252"/>
    </row>
    <row r="213" spans="1:34" x14ac:dyDescent="0.2">
      <c r="A213" s="252"/>
      <c r="B213" s="252"/>
      <c r="C213" s="252"/>
      <c r="D213" s="252"/>
      <c r="E213" s="252"/>
      <c r="F213" s="252"/>
      <c r="G213" s="252"/>
      <c r="H213" s="252"/>
      <c r="I213" s="252"/>
      <c r="J213" s="252"/>
      <c r="K213" s="252"/>
      <c r="L213" s="252"/>
      <c r="M213" s="252"/>
      <c r="N213" s="252"/>
      <c r="O213" s="252"/>
      <c r="P213" s="252"/>
      <c r="Q213" s="252"/>
      <c r="R213" s="252"/>
      <c r="S213" s="252"/>
      <c r="T213" s="252"/>
      <c r="U213" s="252"/>
      <c r="V213" s="252"/>
      <c r="W213" s="252"/>
      <c r="X213" s="252"/>
      <c r="Y213" s="252"/>
      <c r="Z213" s="252"/>
      <c r="AA213" s="252"/>
      <c r="AB213" s="252"/>
      <c r="AC213" s="252"/>
      <c r="AD213" s="252"/>
      <c r="AE213" s="252"/>
      <c r="AF213" s="252"/>
      <c r="AG213" s="252"/>
      <c r="AH213" s="252"/>
    </row>
    <row r="214" spans="1:34" x14ac:dyDescent="0.2">
      <c r="A214" s="252"/>
      <c r="B214" s="252"/>
      <c r="C214" s="252"/>
      <c r="D214" s="252"/>
      <c r="E214" s="252"/>
      <c r="F214" s="252"/>
      <c r="G214" s="252"/>
      <c r="H214" s="252"/>
      <c r="I214" s="252"/>
      <c r="J214" s="252"/>
      <c r="K214" s="252"/>
      <c r="L214" s="252"/>
      <c r="M214" s="252"/>
      <c r="N214" s="252"/>
      <c r="O214" s="252"/>
      <c r="P214" s="252"/>
      <c r="Q214" s="252"/>
      <c r="R214" s="252"/>
      <c r="S214" s="252"/>
      <c r="T214" s="252"/>
      <c r="U214" s="252"/>
      <c r="V214" s="252"/>
      <c r="W214" s="252"/>
      <c r="X214" s="252"/>
      <c r="Y214" s="252"/>
      <c r="Z214" s="252"/>
      <c r="AA214" s="252"/>
      <c r="AB214" s="252"/>
      <c r="AC214" s="252"/>
      <c r="AD214" s="252"/>
      <c r="AE214" s="252"/>
      <c r="AF214" s="252"/>
      <c r="AG214" s="252"/>
      <c r="AH214" s="252"/>
    </row>
    <row r="215" spans="1:34" x14ac:dyDescent="0.2">
      <c r="A215" s="252"/>
      <c r="B215" s="252"/>
      <c r="C215" s="252"/>
      <c r="D215" s="252"/>
      <c r="E215" s="252"/>
      <c r="F215" s="252"/>
      <c r="G215" s="252"/>
      <c r="H215" s="252"/>
      <c r="I215" s="252"/>
      <c r="J215" s="252"/>
      <c r="K215" s="252"/>
      <c r="L215" s="252"/>
      <c r="M215" s="252"/>
      <c r="N215" s="252"/>
      <c r="O215" s="252"/>
      <c r="P215" s="252"/>
      <c r="Q215" s="252"/>
      <c r="R215" s="252"/>
      <c r="S215" s="252"/>
      <c r="T215" s="252"/>
      <c r="U215" s="252"/>
      <c r="V215" s="252"/>
      <c r="W215" s="252"/>
      <c r="X215" s="252"/>
      <c r="Y215" s="252"/>
      <c r="Z215" s="252"/>
      <c r="AA215" s="252"/>
      <c r="AB215" s="252"/>
      <c r="AC215" s="252"/>
      <c r="AD215" s="252"/>
      <c r="AE215" s="252"/>
      <c r="AF215" s="252"/>
      <c r="AG215" s="252"/>
      <c r="AH215" s="252"/>
    </row>
    <row r="216" spans="1:34" x14ac:dyDescent="0.2">
      <c r="A216" s="252"/>
      <c r="B216" s="252"/>
      <c r="C216" s="252"/>
      <c r="D216" s="252"/>
      <c r="E216" s="252"/>
      <c r="F216" s="252"/>
      <c r="G216" s="252"/>
      <c r="H216" s="252"/>
      <c r="I216" s="252"/>
      <c r="J216" s="252"/>
      <c r="K216" s="252"/>
      <c r="L216" s="252"/>
      <c r="M216" s="252"/>
      <c r="N216" s="252"/>
      <c r="O216" s="252"/>
      <c r="P216" s="252"/>
      <c r="Q216" s="252"/>
      <c r="R216" s="252"/>
      <c r="S216" s="252"/>
      <c r="T216" s="252"/>
      <c r="U216" s="252"/>
      <c r="V216" s="252"/>
      <c r="W216" s="252"/>
      <c r="X216" s="252"/>
      <c r="Y216" s="252"/>
      <c r="Z216" s="252"/>
      <c r="AA216" s="252"/>
      <c r="AB216" s="252"/>
      <c r="AC216" s="252"/>
      <c r="AD216" s="252"/>
      <c r="AE216" s="252"/>
      <c r="AF216" s="252"/>
      <c r="AG216" s="252"/>
      <c r="AH216" s="252"/>
    </row>
    <row r="217" spans="1:34" x14ac:dyDescent="0.2">
      <c r="A217" s="252"/>
      <c r="B217" s="252"/>
      <c r="C217" s="252"/>
      <c r="D217" s="252"/>
      <c r="E217" s="252"/>
      <c r="F217" s="252"/>
      <c r="G217" s="252"/>
      <c r="H217" s="252"/>
      <c r="I217" s="252"/>
      <c r="J217" s="252"/>
      <c r="K217" s="252"/>
      <c r="L217" s="252"/>
      <c r="M217" s="252"/>
      <c r="N217" s="252"/>
      <c r="O217" s="252"/>
      <c r="P217" s="252"/>
      <c r="Q217" s="252"/>
      <c r="R217" s="252"/>
      <c r="S217" s="252"/>
      <c r="T217" s="252"/>
      <c r="U217" s="252"/>
      <c r="V217" s="252"/>
      <c r="W217" s="252"/>
      <c r="X217" s="252"/>
      <c r="Y217" s="252"/>
      <c r="Z217" s="252"/>
      <c r="AA217" s="252"/>
      <c r="AB217" s="252"/>
      <c r="AC217" s="252"/>
      <c r="AD217" s="252"/>
      <c r="AE217" s="252"/>
      <c r="AF217" s="252"/>
      <c r="AG217" s="252"/>
      <c r="AH217" s="252"/>
    </row>
    <row r="218" spans="1:34" x14ac:dyDescent="0.2">
      <c r="A218" s="252"/>
      <c r="B218" s="252"/>
      <c r="C218" s="252"/>
      <c r="D218" s="252"/>
      <c r="E218" s="252"/>
      <c r="F218" s="252"/>
      <c r="G218" s="252"/>
      <c r="H218" s="252"/>
      <c r="I218" s="252"/>
      <c r="J218" s="252"/>
      <c r="K218" s="252"/>
      <c r="L218" s="252"/>
      <c r="M218" s="252"/>
      <c r="N218" s="252"/>
      <c r="O218" s="252"/>
      <c r="P218" s="252"/>
      <c r="Q218" s="252"/>
      <c r="R218" s="252"/>
      <c r="S218" s="252"/>
      <c r="T218" s="252"/>
      <c r="U218" s="252"/>
      <c r="V218" s="252"/>
      <c r="W218" s="252"/>
      <c r="X218" s="252"/>
      <c r="Y218" s="252"/>
      <c r="Z218" s="252"/>
      <c r="AA218" s="252"/>
      <c r="AB218" s="252"/>
      <c r="AC218" s="252"/>
      <c r="AD218" s="252"/>
      <c r="AE218" s="252"/>
      <c r="AF218" s="252"/>
      <c r="AG218" s="252"/>
      <c r="AH218" s="252"/>
    </row>
    <row r="219" spans="1:34" x14ac:dyDescent="0.2">
      <c r="A219" s="252"/>
      <c r="B219" s="252"/>
      <c r="C219" s="252"/>
      <c r="D219" s="252"/>
      <c r="E219" s="252"/>
      <c r="F219" s="252"/>
      <c r="G219" s="252"/>
      <c r="H219" s="252"/>
      <c r="I219" s="252"/>
      <c r="J219" s="252"/>
      <c r="K219" s="252"/>
      <c r="L219" s="252"/>
      <c r="M219" s="252"/>
      <c r="N219" s="252"/>
      <c r="O219" s="252"/>
      <c r="P219" s="252"/>
      <c r="Q219" s="252"/>
      <c r="R219" s="252"/>
      <c r="S219" s="252"/>
      <c r="T219" s="252"/>
      <c r="U219" s="252"/>
      <c r="V219" s="252"/>
      <c r="W219" s="252"/>
      <c r="X219" s="252"/>
      <c r="Y219" s="252"/>
      <c r="Z219" s="252"/>
      <c r="AA219" s="252"/>
      <c r="AB219" s="252"/>
      <c r="AC219" s="252"/>
      <c r="AD219" s="252"/>
      <c r="AE219" s="252"/>
      <c r="AF219" s="252"/>
      <c r="AG219" s="252"/>
      <c r="AH219" s="252"/>
    </row>
    <row r="220" spans="1:34" x14ac:dyDescent="0.2">
      <c r="A220" s="252"/>
      <c r="B220" s="252"/>
      <c r="C220" s="252"/>
      <c r="D220" s="252"/>
      <c r="E220" s="252"/>
      <c r="F220" s="252"/>
      <c r="G220" s="252"/>
      <c r="H220" s="252"/>
      <c r="I220" s="252"/>
      <c r="J220" s="252"/>
      <c r="K220" s="252"/>
      <c r="L220" s="252"/>
      <c r="M220" s="252"/>
      <c r="N220" s="252"/>
      <c r="O220" s="252"/>
      <c r="P220" s="252"/>
      <c r="Q220" s="252"/>
      <c r="R220" s="252"/>
      <c r="S220" s="252"/>
      <c r="T220" s="252"/>
      <c r="U220" s="252"/>
      <c r="V220" s="252"/>
      <c r="W220" s="252"/>
      <c r="X220" s="252"/>
      <c r="Y220" s="252"/>
      <c r="Z220" s="252"/>
      <c r="AA220" s="252"/>
      <c r="AB220" s="252"/>
      <c r="AC220" s="252"/>
      <c r="AD220" s="252"/>
      <c r="AE220" s="252"/>
      <c r="AF220" s="252"/>
      <c r="AG220" s="252"/>
      <c r="AH220" s="252"/>
    </row>
    <row r="221" spans="1:34" x14ac:dyDescent="0.2">
      <c r="A221" s="252"/>
      <c r="B221" s="252"/>
      <c r="C221" s="252"/>
      <c r="D221" s="252"/>
      <c r="E221" s="252"/>
      <c r="F221" s="252"/>
      <c r="G221" s="252"/>
      <c r="H221" s="252"/>
      <c r="I221" s="252"/>
      <c r="J221" s="252"/>
      <c r="K221" s="252"/>
      <c r="L221" s="252"/>
      <c r="M221" s="252"/>
      <c r="N221" s="252"/>
      <c r="O221" s="252"/>
      <c r="P221" s="252"/>
      <c r="Q221" s="252"/>
      <c r="R221" s="252"/>
      <c r="S221" s="252"/>
      <c r="T221" s="252"/>
      <c r="U221" s="252"/>
      <c r="V221" s="252"/>
      <c r="W221" s="252"/>
      <c r="X221" s="252"/>
      <c r="Y221" s="252"/>
      <c r="Z221" s="252"/>
      <c r="AA221" s="252"/>
      <c r="AB221" s="252"/>
      <c r="AC221" s="252"/>
      <c r="AD221" s="252"/>
      <c r="AE221" s="252"/>
      <c r="AF221" s="252"/>
      <c r="AG221" s="252"/>
      <c r="AH221" s="252"/>
    </row>
    <row r="222" spans="1:34" x14ac:dyDescent="0.2">
      <c r="A222" s="252"/>
      <c r="B222" s="252"/>
      <c r="C222" s="252"/>
      <c r="D222" s="252"/>
      <c r="E222" s="252"/>
      <c r="F222" s="252"/>
      <c r="G222" s="252"/>
      <c r="H222" s="252"/>
      <c r="I222" s="252"/>
      <c r="J222" s="252"/>
      <c r="K222" s="252"/>
      <c r="L222" s="252"/>
      <c r="M222" s="252"/>
      <c r="N222" s="252"/>
      <c r="O222" s="252"/>
      <c r="P222" s="252"/>
      <c r="Q222" s="252"/>
      <c r="R222" s="252"/>
      <c r="S222" s="252"/>
      <c r="T222" s="252"/>
      <c r="U222" s="252"/>
      <c r="V222" s="252"/>
      <c r="W222" s="252"/>
      <c r="X222" s="252"/>
      <c r="Y222" s="252"/>
      <c r="Z222" s="252"/>
      <c r="AA222" s="252"/>
      <c r="AB222" s="252"/>
      <c r="AC222" s="252"/>
      <c r="AD222" s="252"/>
      <c r="AE222" s="252"/>
      <c r="AF222" s="252"/>
      <c r="AG222" s="252"/>
      <c r="AH222" s="252"/>
    </row>
    <row r="223" spans="1:34" x14ac:dyDescent="0.2">
      <c r="A223" s="252"/>
      <c r="B223" s="252"/>
      <c r="C223" s="252"/>
      <c r="D223" s="252"/>
      <c r="E223" s="252"/>
      <c r="F223" s="252"/>
      <c r="G223" s="252"/>
      <c r="H223" s="252"/>
      <c r="I223" s="252"/>
      <c r="J223" s="252"/>
      <c r="K223" s="252"/>
      <c r="L223" s="252"/>
      <c r="M223" s="252"/>
      <c r="N223" s="252"/>
      <c r="O223" s="252"/>
      <c r="P223" s="252"/>
      <c r="Q223" s="252"/>
      <c r="R223" s="252"/>
      <c r="S223" s="252"/>
      <c r="T223" s="252"/>
      <c r="U223" s="252"/>
      <c r="V223" s="252"/>
      <c r="W223" s="252"/>
      <c r="X223" s="252"/>
      <c r="Y223" s="252"/>
      <c r="Z223" s="252"/>
      <c r="AA223" s="252"/>
      <c r="AB223" s="252"/>
      <c r="AC223" s="252"/>
      <c r="AD223" s="252"/>
      <c r="AE223" s="252"/>
      <c r="AF223" s="252"/>
      <c r="AG223" s="252"/>
      <c r="AH223" s="252"/>
    </row>
    <row r="224" spans="1:34" x14ac:dyDescent="0.2">
      <c r="A224" s="252"/>
      <c r="B224" s="252"/>
      <c r="C224" s="252"/>
      <c r="D224" s="252"/>
      <c r="E224" s="252"/>
      <c r="F224" s="252"/>
      <c r="G224" s="252"/>
      <c r="H224" s="252"/>
      <c r="I224" s="252"/>
      <c r="J224" s="252"/>
      <c r="K224" s="252"/>
      <c r="L224" s="252"/>
      <c r="M224" s="252"/>
      <c r="N224" s="252"/>
      <c r="O224" s="252"/>
      <c r="P224" s="252"/>
      <c r="Q224" s="252"/>
      <c r="R224" s="252"/>
      <c r="S224" s="252"/>
      <c r="T224" s="252"/>
      <c r="U224" s="252"/>
      <c r="V224" s="252"/>
      <c r="W224" s="252"/>
      <c r="X224" s="252"/>
      <c r="Y224" s="252"/>
      <c r="Z224" s="252"/>
      <c r="AA224" s="252"/>
      <c r="AB224" s="252"/>
      <c r="AC224" s="252"/>
      <c r="AD224" s="252"/>
      <c r="AE224" s="252"/>
      <c r="AF224" s="252"/>
      <c r="AG224" s="252"/>
      <c r="AH224" s="252"/>
    </row>
    <row r="225" spans="1:34" x14ac:dyDescent="0.2">
      <c r="A225" s="252"/>
      <c r="B225" s="252"/>
      <c r="C225" s="252"/>
      <c r="D225" s="252"/>
      <c r="E225" s="252"/>
      <c r="F225" s="252"/>
      <c r="G225" s="252"/>
      <c r="H225" s="252"/>
      <c r="I225" s="252"/>
      <c r="J225" s="252"/>
      <c r="K225" s="252"/>
      <c r="L225" s="252"/>
      <c r="M225" s="252"/>
      <c r="N225" s="252"/>
      <c r="O225" s="252"/>
      <c r="P225" s="252"/>
      <c r="Q225" s="252"/>
      <c r="R225" s="252"/>
      <c r="S225" s="252"/>
      <c r="T225" s="252"/>
      <c r="U225" s="252"/>
      <c r="V225" s="252"/>
      <c r="W225" s="252"/>
      <c r="X225" s="252"/>
      <c r="Y225" s="252"/>
      <c r="Z225" s="252"/>
      <c r="AA225" s="252"/>
      <c r="AB225" s="252"/>
      <c r="AC225" s="252"/>
      <c r="AD225" s="252"/>
      <c r="AE225" s="252"/>
      <c r="AF225" s="252"/>
      <c r="AG225" s="252"/>
      <c r="AH225" s="252"/>
    </row>
    <row r="226" spans="1:34" x14ac:dyDescent="0.2">
      <c r="A226" s="252"/>
      <c r="B226" s="252"/>
      <c r="C226" s="252"/>
      <c r="D226" s="252"/>
      <c r="E226" s="252"/>
      <c r="F226" s="252"/>
      <c r="G226" s="252"/>
      <c r="H226" s="252"/>
      <c r="I226" s="252"/>
      <c r="J226" s="252"/>
      <c r="K226" s="252"/>
      <c r="L226" s="252"/>
      <c r="M226" s="252"/>
      <c r="N226" s="252"/>
      <c r="O226" s="252"/>
      <c r="P226" s="252"/>
      <c r="Q226" s="252"/>
      <c r="R226" s="252"/>
      <c r="S226" s="252"/>
      <c r="T226" s="252"/>
      <c r="U226" s="252"/>
      <c r="V226" s="252"/>
      <c r="W226" s="252"/>
      <c r="X226" s="252"/>
      <c r="Y226" s="252"/>
      <c r="Z226" s="252"/>
      <c r="AA226" s="252"/>
      <c r="AB226" s="252"/>
      <c r="AC226" s="252"/>
      <c r="AD226" s="252"/>
      <c r="AE226" s="252"/>
      <c r="AF226" s="252"/>
      <c r="AG226" s="252"/>
      <c r="AH226" s="252"/>
    </row>
    <row r="227" spans="1:34" x14ac:dyDescent="0.2">
      <c r="A227" s="252"/>
      <c r="B227" s="252"/>
      <c r="C227" s="252"/>
      <c r="D227" s="252"/>
      <c r="E227" s="252"/>
      <c r="F227" s="252"/>
      <c r="G227" s="252"/>
      <c r="H227" s="252"/>
      <c r="I227" s="252"/>
      <c r="J227" s="252"/>
      <c r="K227" s="252"/>
      <c r="L227" s="252"/>
      <c r="M227" s="252"/>
      <c r="N227" s="252"/>
      <c r="O227" s="252"/>
      <c r="P227" s="252"/>
      <c r="Q227" s="252"/>
      <c r="R227" s="252"/>
      <c r="S227" s="252"/>
      <c r="T227" s="252"/>
      <c r="U227" s="252"/>
      <c r="V227" s="252"/>
      <c r="W227" s="252"/>
      <c r="X227" s="252"/>
      <c r="Y227" s="252"/>
      <c r="Z227" s="252"/>
      <c r="AA227" s="252"/>
      <c r="AB227" s="252"/>
      <c r="AC227" s="252"/>
      <c r="AD227" s="252"/>
      <c r="AE227" s="252"/>
      <c r="AF227" s="252"/>
      <c r="AG227" s="252"/>
      <c r="AH227" s="252"/>
    </row>
    <row r="228" spans="1:34" x14ac:dyDescent="0.2">
      <c r="A228" s="252"/>
      <c r="B228" s="252"/>
      <c r="C228" s="252"/>
      <c r="D228" s="252"/>
      <c r="E228" s="252"/>
      <c r="F228" s="252"/>
      <c r="G228" s="252"/>
      <c r="H228" s="252"/>
      <c r="I228" s="252"/>
      <c r="J228" s="252"/>
      <c r="K228" s="252"/>
      <c r="L228" s="252"/>
      <c r="M228" s="252"/>
      <c r="N228" s="252"/>
      <c r="O228" s="252"/>
      <c r="P228" s="252"/>
      <c r="Q228" s="252"/>
      <c r="R228" s="252"/>
      <c r="S228" s="252"/>
      <c r="T228" s="252"/>
      <c r="U228" s="252"/>
      <c r="V228" s="252"/>
      <c r="W228" s="252"/>
      <c r="X228" s="252"/>
      <c r="Y228" s="252"/>
      <c r="Z228" s="252"/>
      <c r="AA228" s="252"/>
      <c r="AB228" s="252"/>
      <c r="AC228" s="252"/>
      <c r="AD228" s="252"/>
      <c r="AE228" s="252"/>
      <c r="AF228" s="252"/>
      <c r="AG228" s="252"/>
      <c r="AH228" s="252"/>
    </row>
    <row r="229" spans="1:34" x14ac:dyDescent="0.2">
      <c r="A229" s="252"/>
      <c r="B229" s="252"/>
      <c r="C229" s="252"/>
      <c r="D229" s="252"/>
      <c r="E229" s="252"/>
      <c r="F229" s="252"/>
      <c r="G229" s="252"/>
      <c r="H229" s="252"/>
      <c r="I229" s="252"/>
      <c r="J229" s="252"/>
      <c r="K229" s="252"/>
      <c r="L229" s="252"/>
      <c r="M229" s="252"/>
      <c r="N229" s="252"/>
      <c r="O229" s="252"/>
      <c r="P229" s="252"/>
      <c r="Q229" s="252"/>
      <c r="R229" s="252"/>
      <c r="S229" s="252"/>
      <c r="T229" s="252"/>
      <c r="U229" s="252"/>
      <c r="V229" s="252"/>
      <c r="W229" s="252"/>
      <c r="X229" s="252"/>
      <c r="Y229" s="252"/>
      <c r="Z229" s="252"/>
      <c r="AA229" s="252"/>
      <c r="AB229" s="252"/>
      <c r="AC229" s="252"/>
      <c r="AD229" s="252"/>
      <c r="AE229" s="252"/>
      <c r="AF229" s="252"/>
      <c r="AG229" s="252"/>
      <c r="AH229" s="252"/>
    </row>
    <row r="230" spans="1:34" x14ac:dyDescent="0.2">
      <c r="A230" s="252"/>
      <c r="B230" s="252"/>
      <c r="C230" s="252"/>
      <c r="D230" s="252"/>
      <c r="E230" s="252"/>
      <c r="F230" s="252"/>
      <c r="G230" s="252"/>
      <c r="H230" s="252"/>
      <c r="I230" s="252"/>
      <c r="J230" s="252"/>
      <c r="K230" s="252"/>
      <c r="L230" s="252"/>
      <c r="M230" s="252"/>
      <c r="N230" s="252"/>
      <c r="O230" s="252"/>
      <c r="P230" s="252"/>
      <c r="Q230" s="252"/>
      <c r="R230" s="252"/>
      <c r="S230" s="252"/>
      <c r="T230" s="252"/>
      <c r="U230" s="252"/>
      <c r="V230" s="252"/>
      <c r="W230" s="252"/>
      <c r="X230" s="252"/>
      <c r="Y230" s="252"/>
      <c r="Z230" s="252"/>
      <c r="AA230" s="252"/>
      <c r="AB230" s="252"/>
      <c r="AC230" s="252"/>
      <c r="AD230" s="252"/>
      <c r="AE230" s="252"/>
      <c r="AF230" s="252"/>
      <c r="AG230" s="252"/>
      <c r="AH230" s="252"/>
    </row>
    <row r="231" spans="1:34" x14ac:dyDescent="0.2">
      <c r="A231" s="252"/>
      <c r="B231" s="252"/>
      <c r="C231" s="252"/>
      <c r="D231" s="252"/>
      <c r="E231" s="252"/>
      <c r="F231" s="252"/>
      <c r="G231" s="252"/>
      <c r="H231" s="252"/>
      <c r="I231" s="252"/>
      <c r="J231" s="252"/>
      <c r="K231" s="252"/>
      <c r="L231" s="252"/>
      <c r="M231" s="252"/>
      <c r="N231" s="252"/>
      <c r="O231" s="252"/>
      <c r="P231" s="252"/>
      <c r="Q231" s="252"/>
      <c r="R231" s="252"/>
      <c r="S231" s="252"/>
      <c r="T231" s="252"/>
      <c r="U231" s="252"/>
      <c r="V231" s="252"/>
      <c r="W231" s="252"/>
      <c r="X231" s="252"/>
      <c r="Y231" s="252"/>
      <c r="Z231" s="252"/>
      <c r="AA231" s="252"/>
      <c r="AB231" s="252"/>
      <c r="AC231" s="252"/>
      <c r="AD231" s="252"/>
      <c r="AE231" s="252"/>
      <c r="AF231" s="252"/>
      <c r="AG231" s="252"/>
      <c r="AH231" s="252"/>
    </row>
    <row r="232" spans="1:34" x14ac:dyDescent="0.2">
      <c r="A232" s="252"/>
      <c r="B232" s="252"/>
      <c r="C232" s="252"/>
      <c r="D232" s="252"/>
      <c r="E232" s="252"/>
      <c r="F232" s="252"/>
      <c r="G232" s="252"/>
      <c r="H232" s="252"/>
      <c r="I232" s="252"/>
      <c r="J232" s="252"/>
      <c r="K232" s="252"/>
      <c r="L232" s="252"/>
      <c r="M232" s="252"/>
      <c r="N232" s="252"/>
      <c r="O232" s="252"/>
      <c r="P232" s="252"/>
      <c r="Q232" s="252"/>
      <c r="R232" s="252"/>
      <c r="S232" s="252"/>
      <c r="T232" s="252"/>
      <c r="U232" s="252"/>
      <c r="V232" s="252"/>
      <c r="W232" s="252"/>
      <c r="X232" s="252"/>
      <c r="Y232" s="252"/>
      <c r="Z232" s="252"/>
      <c r="AA232" s="252"/>
      <c r="AB232" s="252"/>
      <c r="AC232" s="252"/>
      <c r="AD232" s="252"/>
      <c r="AE232" s="252"/>
      <c r="AF232" s="252"/>
      <c r="AG232" s="252"/>
      <c r="AH232" s="252"/>
    </row>
    <row r="233" spans="1:34" x14ac:dyDescent="0.2">
      <c r="A233" s="252"/>
      <c r="B233" s="252"/>
      <c r="C233" s="252"/>
      <c r="D233" s="252"/>
      <c r="E233" s="252"/>
      <c r="F233" s="252"/>
      <c r="G233" s="252"/>
      <c r="H233" s="252"/>
      <c r="I233" s="252"/>
      <c r="J233" s="252"/>
      <c r="K233" s="252"/>
      <c r="L233" s="252"/>
      <c r="M233" s="252"/>
      <c r="N233" s="252"/>
      <c r="O233" s="252"/>
      <c r="P233" s="252"/>
      <c r="Q233" s="252"/>
      <c r="R233" s="252"/>
      <c r="S233" s="252"/>
      <c r="T233" s="252"/>
      <c r="U233" s="252"/>
      <c r="V233" s="252"/>
      <c r="W233" s="252"/>
      <c r="X233" s="252"/>
      <c r="Y233" s="252"/>
      <c r="Z233" s="252"/>
      <c r="AA233" s="252"/>
      <c r="AB233" s="252"/>
      <c r="AC233" s="252"/>
      <c r="AD233" s="252"/>
      <c r="AE233" s="252"/>
      <c r="AF233" s="252"/>
      <c r="AG233" s="252"/>
      <c r="AH233" s="252"/>
    </row>
    <row r="234" spans="1:34" x14ac:dyDescent="0.2">
      <c r="A234" s="252"/>
      <c r="B234" s="252"/>
      <c r="C234" s="252"/>
      <c r="D234" s="252"/>
      <c r="E234" s="252"/>
      <c r="F234" s="252"/>
      <c r="G234" s="252"/>
      <c r="H234" s="252"/>
      <c r="I234" s="252"/>
      <c r="J234" s="252"/>
      <c r="K234" s="252"/>
      <c r="L234" s="252"/>
      <c r="M234" s="252"/>
      <c r="N234" s="252"/>
      <c r="O234" s="252"/>
      <c r="P234" s="252"/>
      <c r="Q234" s="252"/>
      <c r="R234" s="252"/>
      <c r="S234" s="252"/>
      <c r="T234" s="252"/>
      <c r="U234" s="252"/>
      <c r="V234" s="252"/>
      <c r="W234" s="252"/>
      <c r="X234" s="252"/>
      <c r="Y234" s="252"/>
      <c r="Z234" s="252"/>
      <c r="AA234" s="252"/>
      <c r="AB234" s="252"/>
      <c r="AC234" s="252"/>
      <c r="AD234" s="252"/>
      <c r="AE234" s="252"/>
      <c r="AF234" s="252"/>
      <c r="AG234" s="252"/>
      <c r="AH234" s="252"/>
    </row>
    <row r="235" spans="1:34" x14ac:dyDescent="0.2">
      <c r="A235" s="252"/>
      <c r="B235" s="252"/>
      <c r="C235" s="252"/>
      <c r="D235" s="252"/>
      <c r="E235" s="252"/>
      <c r="F235" s="252"/>
      <c r="G235" s="252"/>
      <c r="H235" s="252"/>
      <c r="I235" s="252"/>
      <c r="J235" s="252"/>
      <c r="K235" s="252"/>
      <c r="L235" s="252"/>
      <c r="M235" s="252"/>
      <c r="N235" s="252"/>
      <c r="O235" s="252"/>
      <c r="P235" s="252"/>
      <c r="Q235" s="252"/>
      <c r="R235" s="252"/>
      <c r="S235" s="252"/>
      <c r="T235" s="252"/>
      <c r="U235" s="252"/>
      <c r="V235" s="252"/>
      <c r="W235" s="252"/>
      <c r="X235" s="252"/>
      <c r="Y235" s="252"/>
      <c r="Z235" s="252"/>
      <c r="AA235" s="252"/>
      <c r="AB235" s="252"/>
      <c r="AC235" s="252"/>
      <c r="AD235" s="252"/>
      <c r="AE235" s="252"/>
      <c r="AF235" s="252"/>
      <c r="AG235" s="252"/>
      <c r="AH235" s="252"/>
    </row>
    <row r="236" spans="1:34" x14ac:dyDescent="0.2">
      <c r="A236" s="252"/>
      <c r="B236" s="252"/>
      <c r="C236" s="252"/>
      <c r="D236" s="252"/>
      <c r="E236" s="252"/>
      <c r="F236" s="252"/>
      <c r="G236" s="252"/>
      <c r="H236" s="252"/>
      <c r="I236" s="252"/>
      <c r="J236" s="252"/>
      <c r="K236" s="252"/>
      <c r="L236" s="252"/>
      <c r="M236" s="252"/>
      <c r="N236" s="252"/>
      <c r="O236" s="252"/>
      <c r="P236" s="252"/>
      <c r="Q236" s="252"/>
      <c r="R236" s="252"/>
      <c r="S236" s="252"/>
      <c r="T236" s="252"/>
      <c r="U236" s="252"/>
      <c r="V236" s="252"/>
      <c r="W236" s="252"/>
      <c r="X236" s="252"/>
      <c r="Y236" s="252"/>
      <c r="Z236" s="252"/>
      <c r="AA236" s="252"/>
      <c r="AB236" s="252"/>
      <c r="AC236" s="252"/>
      <c r="AD236" s="252"/>
      <c r="AE236" s="252"/>
      <c r="AF236" s="252"/>
      <c r="AG236" s="252"/>
      <c r="AH236" s="252"/>
    </row>
    <row r="237" spans="1:34" x14ac:dyDescent="0.2">
      <c r="A237" s="252"/>
      <c r="B237" s="252"/>
      <c r="C237" s="252"/>
      <c r="D237" s="252"/>
      <c r="E237" s="252"/>
      <c r="F237" s="252"/>
      <c r="G237" s="252"/>
      <c r="H237" s="252"/>
      <c r="I237" s="252"/>
      <c r="J237" s="252"/>
      <c r="K237" s="252"/>
      <c r="L237" s="252"/>
      <c r="M237" s="252"/>
      <c r="N237" s="252"/>
      <c r="O237" s="252"/>
      <c r="P237" s="252"/>
      <c r="Q237" s="252"/>
      <c r="R237" s="252"/>
      <c r="S237" s="252"/>
      <c r="T237" s="252"/>
      <c r="U237" s="252"/>
      <c r="V237" s="252"/>
      <c r="W237" s="252"/>
      <c r="X237" s="252"/>
      <c r="Y237" s="252"/>
      <c r="Z237" s="252"/>
      <c r="AA237" s="252"/>
      <c r="AB237" s="252"/>
      <c r="AC237" s="252"/>
      <c r="AD237" s="252"/>
      <c r="AE237" s="252"/>
      <c r="AF237" s="252"/>
      <c r="AG237" s="252"/>
      <c r="AH237" s="252"/>
    </row>
    <row r="238" spans="1:34" x14ac:dyDescent="0.2">
      <c r="A238" s="252"/>
      <c r="B238" s="252"/>
      <c r="C238" s="252"/>
      <c r="D238" s="252"/>
      <c r="E238" s="252"/>
      <c r="F238" s="252"/>
      <c r="G238" s="252"/>
      <c r="H238" s="252"/>
      <c r="I238" s="252"/>
      <c r="J238" s="252"/>
      <c r="K238" s="252"/>
      <c r="L238" s="252"/>
      <c r="M238" s="252"/>
      <c r="N238" s="252"/>
      <c r="O238" s="252"/>
      <c r="P238" s="252"/>
      <c r="Q238" s="252"/>
      <c r="R238" s="252"/>
      <c r="S238" s="252"/>
      <c r="T238" s="252"/>
      <c r="U238" s="252"/>
      <c r="V238" s="252"/>
      <c r="W238" s="252"/>
      <c r="X238" s="252"/>
      <c r="Y238" s="252"/>
      <c r="Z238" s="252"/>
      <c r="AA238" s="252"/>
      <c r="AB238" s="252"/>
      <c r="AC238" s="252"/>
      <c r="AD238" s="252"/>
      <c r="AE238" s="252"/>
      <c r="AF238" s="252"/>
      <c r="AG238" s="252"/>
      <c r="AH238" s="252"/>
    </row>
    <row r="239" spans="1:34" x14ac:dyDescent="0.2">
      <c r="A239" s="252"/>
      <c r="B239" s="252"/>
      <c r="C239" s="252"/>
      <c r="D239" s="252"/>
      <c r="E239" s="252"/>
      <c r="F239" s="252"/>
      <c r="G239" s="252"/>
      <c r="H239" s="252"/>
      <c r="I239" s="252"/>
      <c r="J239" s="252"/>
      <c r="K239" s="252"/>
      <c r="L239" s="252"/>
      <c r="M239" s="252"/>
      <c r="N239" s="252"/>
      <c r="O239" s="252"/>
      <c r="P239" s="252"/>
      <c r="Q239" s="252"/>
      <c r="R239" s="252"/>
      <c r="S239" s="252"/>
      <c r="T239" s="252"/>
      <c r="U239" s="252"/>
      <c r="V239" s="252"/>
      <c r="W239" s="252"/>
      <c r="X239" s="252"/>
      <c r="Y239" s="252"/>
      <c r="Z239" s="252"/>
      <c r="AA239" s="252"/>
      <c r="AB239" s="252"/>
      <c r="AC239" s="252"/>
      <c r="AD239" s="252"/>
      <c r="AE239" s="252"/>
      <c r="AF239" s="252"/>
      <c r="AG239" s="252"/>
      <c r="AH239" s="252"/>
    </row>
    <row r="240" spans="1:34" x14ac:dyDescent="0.2">
      <c r="A240" s="252"/>
      <c r="B240" s="252"/>
      <c r="C240" s="252"/>
      <c r="D240" s="252"/>
      <c r="E240" s="252"/>
      <c r="F240" s="252"/>
      <c r="G240" s="252"/>
      <c r="H240" s="252"/>
      <c r="I240" s="252"/>
      <c r="J240" s="252"/>
      <c r="K240" s="252"/>
      <c r="L240" s="252"/>
      <c r="M240" s="252"/>
      <c r="N240" s="252"/>
      <c r="O240" s="252"/>
      <c r="P240" s="252"/>
      <c r="Q240" s="252"/>
      <c r="R240" s="252"/>
      <c r="S240" s="252"/>
      <c r="T240" s="252"/>
      <c r="U240" s="252"/>
      <c r="V240" s="252"/>
      <c r="W240" s="252"/>
      <c r="X240" s="252"/>
      <c r="Y240" s="252"/>
      <c r="Z240" s="252"/>
      <c r="AA240" s="252"/>
      <c r="AB240" s="252"/>
      <c r="AC240" s="252"/>
      <c r="AD240" s="252"/>
      <c r="AE240" s="252"/>
      <c r="AF240" s="252"/>
      <c r="AG240" s="252"/>
      <c r="AH240" s="252"/>
    </row>
    <row r="241" spans="1:34" x14ac:dyDescent="0.2">
      <c r="A241" s="252"/>
      <c r="B241" s="252"/>
      <c r="C241" s="252"/>
      <c r="D241" s="252"/>
      <c r="E241" s="252"/>
      <c r="F241" s="252"/>
      <c r="G241" s="252"/>
      <c r="H241" s="252"/>
      <c r="I241" s="252"/>
      <c r="J241" s="252"/>
      <c r="K241" s="252"/>
      <c r="L241" s="252"/>
      <c r="M241" s="252"/>
      <c r="N241" s="252"/>
      <c r="O241" s="252"/>
      <c r="P241" s="252"/>
      <c r="Q241" s="252"/>
      <c r="R241" s="252"/>
      <c r="S241" s="252"/>
      <c r="T241" s="252"/>
      <c r="U241" s="252"/>
      <c r="V241" s="252"/>
      <c r="W241" s="252"/>
      <c r="X241" s="252"/>
      <c r="Y241" s="252"/>
      <c r="Z241" s="252"/>
      <c r="AA241" s="252"/>
      <c r="AB241" s="252"/>
      <c r="AC241" s="252"/>
      <c r="AD241" s="252"/>
      <c r="AE241" s="252"/>
      <c r="AF241" s="252"/>
      <c r="AG241" s="252"/>
      <c r="AH241" s="252"/>
    </row>
    <row r="242" spans="1:34" x14ac:dyDescent="0.2">
      <c r="A242" s="252"/>
      <c r="B242" s="252"/>
      <c r="C242" s="252"/>
      <c r="D242" s="252"/>
      <c r="E242" s="252"/>
      <c r="F242" s="252"/>
      <c r="G242" s="252"/>
      <c r="H242" s="252"/>
      <c r="I242" s="252"/>
      <c r="J242" s="252"/>
      <c r="K242" s="252"/>
      <c r="L242" s="252"/>
      <c r="M242" s="252"/>
      <c r="N242" s="252"/>
      <c r="O242" s="252"/>
      <c r="P242" s="252"/>
      <c r="Q242" s="252"/>
      <c r="R242" s="252"/>
      <c r="S242" s="252"/>
      <c r="T242" s="252"/>
      <c r="U242" s="252"/>
      <c r="V242" s="252"/>
      <c r="W242" s="252"/>
      <c r="X242" s="252"/>
      <c r="Y242" s="252"/>
      <c r="Z242" s="252"/>
      <c r="AA242" s="252"/>
      <c r="AB242" s="252"/>
      <c r="AC242" s="252"/>
      <c r="AD242" s="252"/>
      <c r="AE242" s="252"/>
      <c r="AF242" s="252"/>
      <c r="AG242" s="252"/>
      <c r="AH242" s="252"/>
    </row>
    <row r="243" spans="1:34" x14ac:dyDescent="0.2">
      <c r="A243" s="252"/>
      <c r="B243" s="252"/>
      <c r="C243" s="252"/>
      <c r="D243" s="252"/>
      <c r="E243" s="252"/>
      <c r="F243" s="252"/>
      <c r="G243" s="252"/>
      <c r="H243" s="252"/>
      <c r="I243" s="252"/>
      <c r="J243" s="252"/>
      <c r="K243" s="252"/>
      <c r="L243" s="252"/>
      <c r="M243" s="252"/>
      <c r="N243" s="252"/>
      <c r="O243" s="252"/>
      <c r="P243" s="252"/>
      <c r="Q243" s="252"/>
      <c r="R243" s="252"/>
      <c r="S243" s="252"/>
      <c r="T243" s="252"/>
      <c r="U243" s="252"/>
      <c r="V243" s="252"/>
      <c r="W243" s="252"/>
      <c r="X243" s="252"/>
      <c r="Y243" s="252"/>
      <c r="Z243" s="252"/>
      <c r="AA243" s="252"/>
      <c r="AB243" s="252"/>
      <c r="AC243" s="252"/>
      <c r="AD243" s="252"/>
      <c r="AE243" s="252"/>
      <c r="AF243" s="252"/>
      <c r="AG243" s="252"/>
      <c r="AH243" s="252"/>
    </row>
    <row r="244" spans="1:34" x14ac:dyDescent="0.2">
      <c r="A244" s="252"/>
      <c r="B244" s="252"/>
      <c r="C244" s="252"/>
      <c r="D244" s="252"/>
      <c r="E244" s="252"/>
      <c r="F244" s="252"/>
      <c r="G244" s="252"/>
      <c r="H244" s="252"/>
      <c r="I244" s="252"/>
      <c r="J244" s="252"/>
      <c r="K244" s="252"/>
      <c r="L244" s="252"/>
      <c r="M244" s="252"/>
      <c r="N244" s="252"/>
      <c r="O244" s="252"/>
      <c r="P244" s="252"/>
      <c r="Q244" s="252"/>
      <c r="R244" s="252"/>
      <c r="S244" s="252"/>
      <c r="T244" s="252"/>
      <c r="U244" s="252"/>
      <c r="V244" s="252"/>
      <c r="W244" s="252"/>
      <c r="X244" s="252"/>
      <c r="Y244" s="252"/>
      <c r="Z244" s="252"/>
      <c r="AA244" s="252"/>
      <c r="AB244" s="252"/>
      <c r="AC244" s="252"/>
      <c r="AD244" s="252"/>
      <c r="AE244" s="252"/>
      <c r="AF244" s="252"/>
      <c r="AG244" s="252"/>
      <c r="AH244" s="252"/>
    </row>
    <row r="245" spans="1:34" x14ac:dyDescent="0.2">
      <c r="A245" s="252"/>
      <c r="B245" s="252"/>
      <c r="C245" s="252"/>
      <c r="D245" s="252"/>
      <c r="E245" s="252"/>
      <c r="F245" s="252"/>
      <c r="G245" s="252"/>
      <c r="H245" s="252"/>
      <c r="I245" s="252"/>
      <c r="J245" s="252"/>
      <c r="K245" s="252"/>
      <c r="L245" s="252"/>
      <c r="M245" s="252"/>
      <c r="N245" s="252"/>
      <c r="O245" s="252"/>
      <c r="P245" s="252"/>
      <c r="Q245" s="252"/>
      <c r="R245" s="252"/>
      <c r="S245" s="252"/>
      <c r="T245" s="252"/>
      <c r="U245" s="252"/>
      <c r="V245" s="252"/>
      <c r="W245" s="252"/>
      <c r="X245" s="252"/>
      <c r="Y245" s="252"/>
      <c r="Z245" s="252"/>
      <c r="AA245" s="252"/>
      <c r="AB245" s="252"/>
      <c r="AC245" s="252"/>
      <c r="AD245" s="252"/>
      <c r="AE245" s="252"/>
      <c r="AF245" s="252"/>
      <c r="AG245" s="252"/>
      <c r="AH245" s="252"/>
    </row>
  </sheetData>
  <pageMargins left="0.7" right="0.7" top="1.1811023622047201" bottom="0.75" header="0.3" footer="0.3"/>
  <pageSetup paperSize="9" orientation="portrait" horizontalDpi="90" verticalDpi="90" r:id="rId1"/>
  <headerFooter scaleWithDoc="0">
    <oddHeader>&amp;L&amp;"NotesEsa,Regular"&amp;9&amp;R&amp;G</oddHeader>
    <oddFooter>&amp;L&amp;"Georgia,Regular"&amp;9Page &amp;P / &amp;N&amp;R&amp;G</oddFooter>
  </headerFooter>
  <drawing r:id="rId2"/>
  <legacyDrawingHF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AR175"/>
  <sheetViews>
    <sheetView zoomScale="55" zoomScaleNormal="55" workbookViewId="0">
      <selection activeCell="E1" sqref="E1:M1"/>
    </sheetView>
  </sheetViews>
  <sheetFormatPr defaultColWidth="9.33203125" defaultRowHeight="14.25" x14ac:dyDescent="0.25"/>
  <cols>
    <col min="1" max="1" width="51" style="92" bestFit="1" customWidth="1"/>
    <col min="2" max="2" width="13.1640625" style="92" bestFit="1" customWidth="1"/>
    <col min="3" max="3" width="11.83203125" style="93" customWidth="1"/>
    <col min="4" max="4" width="5.83203125" style="92" customWidth="1"/>
    <col min="5" max="5" width="15.83203125" style="92" customWidth="1"/>
    <col min="6" max="6" width="16.83203125" style="92" customWidth="1"/>
    <col min="7" max="7" width="15.33203125" style="92" customWidth="1"/>
    <col min="8" max="8" width="12.83203125" style="92" customWidth="1"/>
    <col min="9" max="9" width="13.83203125" style="92" customWidth="1"/>
    <col min="10" max="10" width="9.1640625" style="92" bestFit="1" customWidth="1"/>
    <col min="11" max="11" width="15.6640625" style="92" bestFit="1" customWidth="1"/>
    <col min="12" max="12" width="12.83203125" style="92" customWidth="1"/>
    <col min="13" max="13" width="35.1640625" style="92" bestFit="1" customWidth="1"/>
    <col min="14" max="14" width="12.83203125" style="92" customWidth="1"/>
    <col min="15" max="17" width="10.83203125" style="92" customWidth="1"/>
    <col min="18" max="18" width="13.1640625" style="92" bestFit="1" customWidth="1"/>
    <col min="19" max="19" width="23.6640625" style="92" bestFit="1" customWidth="1"/>
    <col min="20" max="20" width="14.5" style="92" bestFit="1" customWidth="1"/>
    <col min="21" max="21" width="18.33203125" style="92" bestFit="1" customWidth="1"/>
    <col min="22" max="22" width="4.83203125" style="92" customWidth="1"/>
    <col min="23" max="25" width="9.33203125" style="92" customWidth="1"/>
    <col min="26" max="26" width="4.83203125" style="92" customWidth="1"/>
    <col min="27" max="29" width="9.33203125" style="92" customWidth="1"/>
    <col min="30" max="30" width="2.83203125" style="92" customWidth="1"/>
    <col min="31" max="34" width="9.33203125" style="92" customWidth="1"/>
    <col min="35" max="35" width="4.83203125" style="92" customWidth="1"/>
    <col min="36" max="38" width="9.33203125" style="92" customWidth="1"/>
    <col min="39" max="39" width="4.83203125" style="92" customWidth="1"/>
    <col min="40" max="42" width="9.33203125" style="92" customWidth="1"/>
    <col min="43" max="43" width="2.83203125" style="92" customWidth="1"/>
    <col min="44" max="16384" width="9.33203125" style="92"/>
  </cols>
  <sheetData>
    <row r="1" spans="1:19" ht="33" x14ac:dyDescent="0.6">
      <c r="A1" s="186" t="s">
        <v>70</v>
      </c>
      <c r="B1" s="199">
        <f>299792458</f>
        <v>299792458</v>
      </c>
      <c r="C1" s="142" t="s">
        <v>71</v>
      </c>
      <c r="E1" s="329" t="s">
        <v>530</v>
      </c>
      <c r="F1" s="329"/>
      <c r="G1" s="329"/>
      <c r="H1" s="329"/>
      <c r="I1" s="329"/>
      <c r="J1" s="329"/>
      <c r="K1" s="329"/>
      <c r="L1" s="329"/>
      <c r="M1" s="329"/>
      <c r="N1" s="198"/>
      <c r="O1" s="198"/>
      <c r="P1" s="198"/>
    </row>
    <row r="2" spans="1:19" ht="15" thickBot="1" x14ac:dyDescent="0.3">
      <c r="A2" s="178" t="s">
        <v>72</v>
      </c>
      <c r="B2" s="177">
        <f>6.6260755E-34</f>
        <v>6.6260755E-34</v>
      </c>
      <c r="C2" s="141" t="s">
        <v>73</v>
      </c>
      <c r="E2" s="198"/>
      <c r="O2" s="159"/>
    </row>
    <row r="3" spans="1:19" x14ac:dyDescent="0.25">
      <c r="A3" s="178" t="s">
        <v>74</v>
      </c>
      <c r="B3" s="177">
        <f>1.380658E-23</f>
        <v>1.3806580000000001E-23</v>
      </c>
      <c r="C3" s="141" t="s">
        <v>75</v>
      </c>
      <c r="E3" s="197" t="s">
        <v>296</v>
      </c>
      <c r="F3" s="104"/>
      <c r="G3" s="196" t="s">
        <v>76</v>
      </c>
      <c r="H3" s="156"/>
      <c r="I3" s="156"/>
      <c r="J3" s="156" t="s">
        <v>12</v>
      </c>
      <c r="K3" s="196" t="s">
        <v>77</v>
      </c>
      <c r="L3" s="155"/>
      <c r="M3" s="195"/>
      <c r="N3" s="156"/>
      <c r="O3" s="194"/>
      <c r="P3" s="156"/>
      <c r="Q3" s="156"/>
      <c r="R3" s="155"/>
    </row>
    <row r="4" spans="1:19" ht="15" thickBot="1" x14ac:dyDescent="0.3">
      <c r="A4" s="176" t="s">
        <v>78</v>
      </c>
      <c r="B4" s="193">
        <f>0.0000000567051</f>
        <v>5.6705100000000003E-8</v>
      </c>
      <c r="C4" s="175" t="s">
        <v>79</v>
      </c>
      <c r="E4" s="192" t="s">
        <v>51</v>
      </c>
      <c r="F4" s="191" t="s">
        <v>80</v>
      </c>
      <c r="G4" s="191" t="s">
        <v>81</v>
      </c>
      <c r="H4" s="191" t="s">
        <v>82</v>
      </c>
      <c r="I4" s="191" t="s">
        <v>83</v>
      </c>
      <c r="J4" s="191"/>
      <c r="K4" s="188" t="s">
        <v>80</v>
      </c>
      <c r="L4" s="190"/>
      <c r="M4" s="189" t="s">
        <v>81</v>
      </c>
      <c r="N4" s="188"/>
      <c r="O4" s="188" t="s">
        <v>82</v>
      </c>
      <c r="P4" s="188"/>
      <c r="Q4" s="188" t="s">
        <v>83</v>
      </c>
      <c r="R4" s="146"/>
    </row>
    <row r="5" spans="1:19" x14ac:dyDescent="0.25">
      <c r="E5" s="99">
        <v>0</v>
      </c>
      <c r="F5" s="92">
        <v>8.4</v>
      </c>
      <c r="G5" s="159">
        <f>$B$34*1.2*10^0</f>
        <v>1.2</v>
      </c>
      <c r="H5" s="159">
        <f>1.2*10^0*$B$34</f>
        <v>1.2</v>
      </c>
      <c r="I5" s="159">
        <f>1.2*10^0*$B$34</f>
        <v>1.2</v>
      </c>
      <c r="J5" s="159"/>
      <c r="K5" s="92">
        <f t="array" ref="K5:L5">LOGEST(F5:F6,E5:E6)</f>
        <v>0.99647343942365929</v>
      </c>
      <c r="L5" s="98">
        <v>8.4</v>
      </c>
      <c r="M5" s="184">
        <f t="array" ref="M5:N5">LOGEST(G5:G6,E5:E6)</f>
        <v>0.86267099598919128</v>
      </c>
      <c r="N5" s="159">
        <v>1.2000000000000013</v>
      </c>
      <c r="O5" s="159">
        <f t="array" ref="O5:P5">LOGEST(H5:H6,E5:E6)</f>
        <v>0.86300148430553925</v>
      </c>
      <c r="P5" s="159">
        <v>1.2000000000000004</v>
      </c>
      <c r="Q5" s="92">
        <f t="array" ref="Q5:R5">LOGEST(I5:I6,E5:E6)</f>
        <v>0.86354284336938314</v>
      </c>
      <c r="R5" s="166">
        <v>1.2000000000000024</v>
      </c>
      <c r="S5" s="159"/>
    </row>
    <row r="6" spans="1:19" ht="15" thickBot="1" x14ac:dyDescent="0.3">
      <c r="E6" s="99">
        <v>100</v>
      </c>
      <c r="F6" s="92">
        <v>5.9</v>
      </c>
      <c r="G6" s="159">
        <f>4.61*10^-7*$B$34</f>
        <v>4.6100000000000001E-7</v>
      </c>
      <c r="H6" s="159">
        <f>4.79*10^-7*$B$34</f>
        <v>4.7899999999999999E-7</v>
      </c>
      <c r="I6" s="159">
        <f>5.1*10^-7*$B$34</f>
        <v>5.0999999999999999E-7</v>
      </c>
      <c r="J6" s="159"/>
      <c r="K6" s="92">
        <f t="array" ref="K6:L6">LOGEST(F6:F7,E6:E7)</f>
        <v>1.0297072329929207</v>
      </c>
      <c r="L6" s="98">
        <v>0.31584621299500232</v>
      </c>
      <c r="M6" s="184">
        <f t="array" ref="M6:N6">LOGEST(G6:G7,E6:E7)</f>
        <v>0.89346112401831479</v>
      </c>
      <c r="N6" s="159">
        <v>3.5986108723599558E-2</v>
      </c>
      <c r="O6" s="159">
        <f t="array" ref="O6:P6">LOGEST(H6:H7,E6:E7)</f>
        <v>0.89443103759468146</v>
      </c>
      <c r="P6" s="159">
        <v>3.3546667989377735E-2</v>
      </c>
      <c r="Q6" s="92">
        <f t="array" ref="Q6:R6">LOGEST(I6:I7,E6:E7)</f>
        <v>0.89544970934785129</v>
      </c>
      <c r="R6" s="166">
        <v>3.1875000000000216E-2</v>
      </c>
      <c r="S6" s="159"/>
    </row>
    <row r="7" spans="1:19" ht="15" thickBot="1" x14ac:dyDescent="0.3">
      <c r="A7" s="174" t="s">
        <v>295</v>
      </c>
      <c r="B7" s="173">
        <v>132700000000</v>
      </c>
      <c r="C7" s="172" t="s">
        <v>84</v>
      </c>
      <c r="E7" s="99">
        <v>150</v>
      </c>
      <c r="F7" s="92">
        <v>25.5</v>
      </c>
      <c r="G7" s="159">
        <f>1.65*10^-9*$B$34</f>
        <v>1.6500000000000001E-9</v>
      </c>
      <c r="H7" s="159">
        <f>1.81*10^-9*$B$34</f>
        <v>1.8100000000000002E-9</v>
      </c>
      <c r="I7" s="159">
        <f>2.04*10^-9*$B$34</f>
        <v>2.04E-9</v>
      </c>
      <c r="J7" s="159"/>
      <c r="K7" s="92">
        <f t="array" ref="K7:L7">LOGEST(F7:F8,E7:E8)</f>
        <v>1.0077430733560648</v>
      </c>
      <c r="L7" s="98">
        <v>8.018015999999994</v>
      </c>
      <c r="M7" s="184">
        <f t="array" ref="M7:N7">LOGEST(G7:G8,E7:E8)</f>
        <v>0.95644218110239376</v>
      </c>
      <c r="N7" s="159">
        <v>1.3142432947406164E-6</v>
      </c>
      <c r="O7" s="159">
        <f t="array" ref="O7:P7">LOGEST(H7:H8,E7:E8)</f>
        <v>0.96141045125510749</v>
      </c>
      <c r="P7" s="159">
        <v>6.627545774349797E-7</v>
      </c>
      <c r="Q7" s="92">
        <f t="array" ref="Q7:R7">LOGEST(I7:I8,E7:E8)</f>
        <v>0.96546881378077976</v>
      </c>
      <c r="R7" s="166">
        <v>3.9709340956047757E-7</v>
      </c>
      <c r="S7" s="159"/>
    </row>
    <row r="8" spans="1:19" ht="15" thickBot="1" x14ac:dyDescent="0.3">
      <c r="E8" s="99">
        <v>200</v>
      </c>
      <c r="F8" s="92">
        <v>37.5</v>
      </c>
      <c r="G8" s="159">
        <f>1.78*10^-10*$B$34</f>
        <v>1.7800000000000001E-10</v>
      </c>
      <c r="H8" s="159">
        <f>2.53*10^-10*$B$34</f>
        <v>2.5300000000000001E-10</v>
      </c>
      <c r="I8" s="159">
        <f>3.52*10^-10*$B$34</f>
        <v>3.5200000000000003E-10</v>
      </c>
      <c r="J8" s="159"/>
      <c r="K8" s="92">
        <f t="array" ref="K8:L8">LOGEST(F8:F9,E8:E9)</f>
        <v>1.0035636789870466</v>
      </c>
      <c r="L8" s="98">
        <v>18.409597045466189</v>
      </c>
      <c r="M8" s="184">
        <f t="array" ref="M8:N8">LOGEST(G8:G9,E8:E9)</f>
        <v>0.96714701577121509</v>
      </c>
      <c r="N8" s="159">
        <v>1.4187987049891646E-7</v>
      </c>
      <c r="O8" s="159">
        <f t="array" ref="O8:P8">LOGEST(H8:H9,E8:E9)</f>
        <v>0.97239178546508487</v>
      </c>
      <c r="P8" s="159">
        <v>6.836979018839576E-8</v>
      </c>
      <c r="Q8" s="92">
        <f t="array" ref="Q8:R8">LOGEST(I8:I9,E8:E9)</f>
        <v>0.97628195923691496</v>
      </c>
      <c r="R8" s="166">
        <v>4.2804542175819242E-8</v>
      </c>
      <c r="S8" s="159"/>
    </row>
    <row r="9" spans="1:19" x14ac:dyDescent="0.25">
      <c r="A9" s="186" t="s">
        <v>294</v>
      </c>
      <c r="B9" s="185">
        <v>149600000</v>
      </c>
      <c r="C9" s="142" t="s">
        <v>1</v>
      </c>
      <c r="E9" s="99">
        <v>250</v>
      </c>
      <c r="F9" s="92">
        <v>44.8</v>
      </c>
      <c r="G9" s="159">
        <f>3.35*10^-11*$B$34</f>
        <v>3.3500000000000001E-11</v>
      </c>
      <c r="H9" s="159">
        <f>6.24*10^-11*$B$34</f>
        <v>6.2399999999999999E-11</v>
      </c>
      <c r="I9" s="159">
        <f>1.06*10^-10*$B$34</f>
        <v>1.0600000000000001E-10</v>
      </c>
      <c r="J9" s="159"/>
      <c r="K9" s="92">
        <f t="array" ref="K9:L9">LOGEST(F9:F10,E9:E10)</f>
        <v>1.0023186226113339</v>
      </c>
      <c r="L9" s="98">
        <v>25.108927269167818</v>
      </c>
      <c r="M9" s="184">
        <f t="array" ref="M9:N9">LOGEST(G9:G10,E9:E10)</f>
        <v>0.97222051708922141</v>
      </c>
      <c r="N9" s="159">
        <v>3.8357415185596573E-8</v>
      </c>
      <c r="O9" s="159">
        <f t="array" ref="O9:P9">LOGEST(H9:H10,E9:E10)</f>
        <v>0.97700548171152435</v>
      </c>
      <c r="P9" s="159">
        <v>2.0937965568000135E-8</v>
      </c>
      <c r="Q9" s="92">
        <f t="array" ref="Q9:R9">LOGEST(I9:I10,E9:E10)</f>
        <v>0.98050042536913595</v>
      </c>
      <c r="R9" s="166">
        <v>1.456663579927229E-8</v>
      </c>
      <c r="S9" s="159"/>
    </row>
    <row r="10" spans="1:19" x14ac:dyDescent="0.25">
      <c r="A10" s="178" t="s">
        <v>293</v>
      </c>
      <c r="B10" s="92">
        <v>365.25400000000002</v>
      </c>
      <c r="C10" s="141" t="s">
        <v>286</v>
      </c>
      <c r="E10" s="99">
        <v>300</v>
      </c>
      <c r="F10" s="92">
        <v>50.3</v>
      </c>
      <c r="G10" s="159">
        <f>8.19*10^-12*$B$34</f>
        <v>8.1899999999999996E-12</v>
      </c>
      <c r="H10" s="159">
        <f>1.95*10^-11*$B$34</f>
        <v>1.9499999999999997E-11</v>
      </c>
      <c r="I10" s="159">
        <f>3.96*10^-11*$B$34</f>
        <v>3.9599999999999998E-11</v>
      </c>
      <c r="J10" s="159"/>
      <c r="K10" s="92">
        <f t="array" ref="K10:L10">LOGEST(F10:F11,E10:E11)</f>
        <v>1.0017151715639681</v>
      </c>
      <c r="L10" s="98">
        <v>30.08101903544739</v>
      </c>
      <c r="M10" s="184">
        <f t="array" ref="M10:N10">LOGEST(G10:G11,E10:E11)</f>
        <v>0.97525601850620436</v>
      </c>
      <c r="N10" s="159">
        <v>1.5055395468750046E-8</v>
      </c>
      <c r="O10" s="159">
        <f t="array" ref="O10:P10">LOGEST(H10:H11,E10:E11)</f>
        <v>0.97966234659641926</v>
      </c>
      <c r="P10" s="159">
        <v>9.2706405771136565E-9</v>
      </c>
      <c r="Q10" s="92">
        <f t="array" ref="Q10:R10">LOGEST(I10:I11,E10:E11)</f>
        <v>0.98285628058069752</v>
      </c>
      <c r="R10" s="166">
        <v>7.0907148974368284E-9</v>
      </c>
      <c r="S10" s="159"/>
    </row>
    <row r="11" spans="1:19" x14ac:dyDescent="0.25">
      <c r="A11" s="178" t="s">
        <v>292</v>
      </c>
      <c r="B11" s="92">
        <v>6378.1369999999997</v>
      </c>
      <c r="C11" s="141" t="s">
        <v>1</v>
      </c>
      <c r="E11" s="99">
        <v>350</v>
      </c>
      <c r="F11" s="92">
        <v>54.8</v>
      </c>
      <c r="G11" s="159">
        <f>2.34*10^-12*$B$34</f>
        <v>2.3399999999999997E-12</v>
      </c>
      <c r="H11" s="159">
        <f>6.98*10^-12*$B$34</f>
        <v>6.9800000000000006E-12</v>
      </c>
      <c r="I11" s="159">
        <f>1.668*10^-11*$B$34</f>
        <v>1.6679999999999998E-11</v>
      </c>
      <c r="J11" s="159"/>
      <c r="K11" s="92">
        <f t="array" ref="K11:L11">LOGEST(F11:F12,E11:E12)</f>
        <v>1.0012046281980518</v>
      </c>
      <c r="L11" s="98">
        <v>35.957010369125094</v>
      </c>
      <c r="M11" s="184">
        <f t="array" ref="M11:N11">LOGEST(G11:G12,E11:E12)</f>
        <v>0.97702551278446703</v>
      </c>
      <c r="N11" s="159">
        <v>7.9826905087363789E-9</v>
      </c>
      <c r="O11" s="159">
        <f t="array" ref="O11:P11">LOGEST(H11:H12,E11:E12)</f>
        <v>0.98132817847367793</v>
      </c>
      <c r="P11" s="159">
        <v>5.1151815532580723E-9</v>
      </c>
      <c r="Q11" s="92">
        <f t="array" ref="Q11:R11">LOGEST(I11:I12,E11:E12)</f>
        <v>0.98427174476845669</v>
      </c>
      <c r="R11" s="166">
        <v>4.2848903122017038E-9</v>
      </c>
      <c r="S11" s="159"/>
    </row>
    <row r="12" spans="1:19" x14ac:dyDescent="0.25">
      <c r="A12" s="178" t="s">
        <v>291</v>
      </c>
      <c r="B12" s="92">
        <v>398600.44179999997</v>
      </c>
      <c r="C12" s="141" t="s">
        <v>84</v>
      </c>
      <c r="E12" s="99">
        <v>400</v>
      </c>
      <c r="F12" s="92">
        <v>58.2</v>
      </c>
      <c r="G12" s="159">
        <f>0.000000000000732*$B$34</f>
        <v>7.3200000000000001E-13</v>
      </c>
      <c r="H12" s="159">
        <f>0.00000000000272*$B$34</f>
        <v>2.7200000000000001E-12</v>
      </c>
      <c r="I12" s="159">
        <f>0.00000000000755*$B$34</f>
        <v>7.5500000000000007E-12</v>
      </c>
      <c r="J12" s="159"/>
      <c r="K12" s="92">
        <f t="array" ref="K12:L12">LOGEST(F12:F13,E12:E13)</f>
        <v>1.0010384285580636</v>
      </c>
      <c r="L12" s="98">
        <v>38.425813069096527</v>
      </c>
      <c r="M12" s="184">
        <f t="array" ref="M12:N12">LOGEST(G12:G13,E12:E13)</f>
        <v>0.97850650567608033</v>
      </c>
      <c r="N12" s="159">
        <v>4.3553604537007836E-9</v>
      </c>
      <c r="O12" s="159">
        <f t="array" ref="O12:P12">LOGEST(H12:H13,E12:E13)</f>
        <v>0.98258513759556954</v>
      </c>
      <c r="P12" s="159">
        <v>3.0654383649850907E-9</v>
      </c>
      <c r="Q12" s="92">
        <f t="array" ref="Q12:R12">LOGEST(I12:I13,E12:E13)</f>
        <v>0.98535155208239156</v>
      </c>
      <c r="R12" s="166">
        <v>2.7635348737019309E-9</v>
      </c>
      <c r="S12" s="159"/>
    </row>
    <row r="13" spans="1:19" x14ac:dyDescent="0.25">
      <c r="A13" s="178" t="s">
        <v>290</v>
      </c>
      <c r="B13" s="183">
        <f>23+56/60+4/3600</f>
        <v>23.934444444444445</v>
      </c>
      <c r="C13" s="141" t="s">
        <v>276</v>
      </c>
      <c r="E13" s="99">
        <v>450</v>
      </c>
      <c r="F13" s="92">
        <v>61.3</v>
      </c>
      <c r="G13" s="159">
        <f>0.000000000000247*$B$34</f>
        <v>2.4700000000000001E-13</v>
      </c>
      <c r="H13" s="159">
        <f>0.00000000000113*$B$34</f>
        <v>1.13E-12</v>
      </c>
      <c r="I13" s="159">
        <f>0.00000000000361*$B$34</f>
        <v>3.6100000000000002E-12</v>
      </c>
      <c r="J13" s="159"/>
      <c r="K13" s="92">
        <f t="array" ref="K13:L13">LOGEST(F13:F14,E13:E14)</f>
        <v>1.0010182256573112</v>
      </c>
      <c r="L13" s="98">
        <v>38.776384530432807</v>
      </c>
      <c r="M13" s="184">
        <f t="array" ref="M13:N13">LOGEST(G13:G14,E13:E14)</f>
        <v>0.97996730783460739</v>
      </c>
      <c r="N13" s="159">
        <v>2.2257813678725773E-9</v>
      </c>
      <c r="O13" s="159">
        <f t="array" ref="O13:P13">LOGEST(H13:H14,E13:E14)</f>
        <v>0.98338732952300345</v>
      </c>
      <c r="P13" s="159">
        <v>2.1232674535004475E-9</v>
      </c>
      <c r="Q13" s="92">
        <f t="array" ref="Q13:R13">LOGEST(I13:I14,E13:E14)</f>
        <v>0.98617799126284589</v>
      </c>
      <c r="R13" s="166">
        <v>1.8950447638629697E-9</v>
      </c>
      <c r="S13" s="159"/>
    </row>
    <row r="14" spans="1:19" ht="15" thickBot="1" x14ac:dyDescent="0.3">
      <c r="A14" s="176" t="s">
        <v>289</v>
      </c>
      <c r="B14" s="187">
        <v>24</v>
      </c>
      <c r="C14" s="175" t="s">
        <v>276</v>
      </c>
      <c r="E14" s="99">
        <v>500</v>
      </c>
      <c r="F14" s="92">
        <v>64.5</v>
      </c>
      <c r="G14" s="159">
        <f>0.0000000000000898*$B$34</f>
        <v>8.9800000000000006E-14</v>
      </c>
      <c r="H14" s="159">
        <f>0.000000000000489*$B$34</f>
        <v>4.8900000000000004E-13</v>
      </c>
      <c r="I14" s="159">
        <f>0.0000000000018*$B$34</f>
        <v>1.8E-12</v>
      </c>
      <c r="J14" s="159"/>
      <c r="K14" s="92">
        <f t="array" ref="K14:L14">LOGEST(F14:F15,E14:E15)</f>
        <v>1.0012624757609592</v>
      </c>
      <c r="L14" s="98">
        <v>34.323335891636866</v>
      </c>
      <c r="M14" s="184">
        <f t="array" ref="M14:N14">LOGEST(G14:G15,E14:E15)</f>
        <v>0.98204775184085935</v>
      </c>
      <c r="N14" s="159">
        <v>7.7085634766226934E-10</v>
      </c>
      <c r="O14" s="159">
        <f t="array" ref="O14:P14">LOGEST(H14:H15,E14:E15)</f>
        <v>0.98424148961990421</v>
      </c>
      <c r="P14" s="159">
        <v>1.3755447178182631E-9</v>
      </c>
      <c r="Q14" s="92">
        <f t="array" ref="Q14:R14">LOGEST(I14:I15,E14:E15)</f>
        <v>0.98677328788241292</v>
      </c>
      <c r="R14" s="166">
        <v>1.4014584573745438E-9</v>
      </c>
      <c r="S14" s="159"/>
    </row>
    <row r="15" spans="1:19" ht="15" thickBot="1" x14ac:dyDescent="0.3">
      <c r="E15" s="99">
        <v>550</v>
      </c>
      <c r="F15" s="92">
        <v>68.7</v>
      </c>
      <c r="G15" s="159">
        <f>0.0000000000000363*$B$34</f>
        <v>3.6300000000000001E-14</v>
      </c>
      <c r="H15" s="159">
        <f>0.000000000000221*$B$34</f>
        <v>2.2099999999999999E-13</v>
      </c>
      <c r="I15" s="159">
        <f>0.000000000000925*$B$34</f>
        <v>9.25E-13</v>
      </c>
      <c r="J15" s="159"/>
      <c r="K15" s="92">
        <f t="array" ref="K15:L15">LOGEST(F15:F16,E15:E16)</f>
        <v>1.0017028218724708</v>
      </c>
      <c r="L15" s="98">
        <v>26.950279165713035</v>
      </c>
      <c r="M15" s="184">
        <f t="array" ref="M15:N15">LOGEST(G15:G16,E15:E16)</f>
        <v>0.98470933069819921</v>
      </c>
      <c r="N15" s="159">
        <v>1.7397121696089749E-10</v>
      </c>
      <c r="O15" s="159">
        <f t="array" ref="O15:P15">LOGEST(H15:H16,E15:E16)</f>
        <v>0.98503762945483397</v>
      </c>
      <c r="P15" s="159">
        <v>8.8174001825821176E-10</v>
      </c>
      <c r="Q15" s="92">
        <f t="array" ref="Q15:R15">LOGEST(I15:I16,E15:E16)</f>
        <v>0.98733229452271587</v>
      </c>
      <c r="R15" s="166">
        <v>1.0263685655874676E-9</v>
      </c>
      <c r="S15" s="159"/>
    </row>
    <row r="16" spans="1:19" x14ac:dyDescent="0.25">
      <c r="A16" s="186" t="s">
        <v>288</v>
      </c>
      <c r="B16" s="185">
        <v>149600000</v>
      </c>
      <c r="C16" s="142" t="s">
        <v>1</v>
      </c>
      <c r="E16" s="99">
        <v>600</v>
      </c>
      <c r="F16" s="92">
        <v>74.8</v>
      </c>
      <c r="G16" s="159">
        <f>0.0000000000000168*$B$34</f>
        <v>1.6799999999999998E-14</v>
      </c>
      <c r="H16" s="159">
        <f>0.000000000000104*$B$34</f>
        <v>1.04E-13</v>
      </c>
      <c r="I16" s="159">
        <f>0.000000000000489*$B$34</f>
        <v>4.8900000000000004E-13</v>
      </c>
      <c r="J16" s="159"/>
      <c r="K16" s="92">
        <f t="array" ref="K16:L16">LOGEST(F16:F17,E16:E17)</f>
        <v>1.0024179087704428</v>
      </c>
      <c r="L16" s="98">
        <v>17.563514060429057</v>
      </c>
      <c r="M16" s="184">
        <f t="array" ref="M16:N16">LOGEST(G16:G17,E16:E17)</f>
        <v>0.98789943779896028</v>
      </c>
      <c r="N16" s="159">
        <v>2.4984249810371628E-11</v>
      </c>
      <c r="O16" s="159">
        <f t="array" ref="O16:P16">LOGEST(H16:H17,E16:E17)</f>
        <v>0.98604214505505416</v>
      </c>
      <c r="P16" s="159">
        <v>4.783509737758123E-10</v>
      </c>
      <c r="Q16" s="92">
        <f t="array" ref="Q16:R16">LOGEST(I16:I17,E16:E17)</f>
        <v>0.98774741403839106</v>
      </c>
      <c r="R16" s="166">
        <v>7.975685973417382E-10</v>
      </c>
      <c r="S16" s="159"/>
    </row>
    <row r="17" spans="1:23" x14ac:dyDescent="0.25">
      <c r="A17" s="178" t="s">
        <v>287</v>
      </c>
      <c r="B17" s="92">
        <v>365.25400000000002</v>
      </c>
      <c r="C17" s="141" t="s">
        <v>286</v>
      </c>
      <c r="E17" s="99">
        <v>650</v>
      </c>
      <c r="F17" s="92">
        <v>84.4</v>
      </c>
      <c r="G17" s="159">
        <f>0.00000000000000914*$B$34</f>
        <v>9.1399999999999994E-15</v>
      </c>
      <c r="H17" s="159">
        <f>0.0000000000000515*$B$34</f>
        <v>5.1500000000000001E-14</v>
      </c>
      <c r="I17" s="159">
        <f>0.000000000000264*$B$34</f>
        <v>2.6399999999999999E-13</v>
      </c>
      <c r="J17" s="159"/>
      <c r="K17" s="92">
        <f t="array" ref="K17:L17">LOGEST(F17:F18,E17:E18)</f>
        <v>1.0032568554554959</v>
      </c>
      <c r="L17" s="98">
        <v>10.196568057906818</v>
      </c>
      <c r="M17" s="184">
        <f t="array" ref="M17:N17">LOGEST(G17:G18,E17:E18)</f>
        <v>0.99073912500205386</v>
      </c>
      <c r="N17" s="159">
        <v>3.8671599834519859E-12</v>
      </c>
      <c r="O17" s="159">
        <f t="array" ref="O17:P17">LOGEST(H17:H18,E17:E18)</f>
        <v>0.98731385949615302</v>
      </c>
      <c r="P17" s="159">
        <v>2.0696907282656924E-10</v>
      </c>
      <c r="Q17" s="92">
        <f t="array" ref="Q17:R17">LOGEST(I17:I18,E17:E18)</f>
        <v>0.98835796872936854</v>
      </c>
      <c r="R17" s="166">
        <v>5.3373984411506108E-10</v>
      </c>
      <c r="S17" s="159"/>
    </row>
    <row r="18" spans="1:23" x14ac:dyDescent="0.25">
      <c r="A18" s="178" t="s">
        <v>285</v>
      </c>
      <c r="B18" s="92">
        <f>VLOOKUP('Thermal Control - Spherical'!I13,Constants!K29:Q39,7,FALSE)</f>
        <v>1737</v>
      </c>
      <c r="C18" s="141" t="s">
        <v>1</v>
      </c>
      <c r="E18" s="99">
        <v>700</v>
      </c>
      <c r="F18" s="92">
        <v>99.3</v>
      </c>
      <c r="G18" s="159">
        <f>0.00000000000000574*$B$34</f>
        <v>5.7400000000000002E-15</v>
      </c>
      <c r="H18" s="159">
        <f>0.0000000000000272*$B$34</f>
        <v>2.72E-14</v>
      </c>
      <c r="I18" s="159">
        <f>0.000000000000147*$B$34</f>
        <v>1.47E-13</v>
      </c>
      <c r="J18" s="159"/>
      <c r="K18" s="92">
        <f t="array" ref="K18:L18">LOGEST(F18:F19,E18:E19)</f>
        <v>1.0039607225025682</v>
      </c>
      <c r="L18" s="98">
        <v>6.2408471064885678</v>
      </c>
      <c r="M18" s="184">
        <f t="array" ref="M18:N18">LOGEST(G18:G19,E18:E19)</f>
        <v>0.99275302727877701</v>
      </c>
      <c r="N18" s="159">
        <v>9.33378614960351E-13</v>
      </c>
      <c r="O18" s="159">
        <f t="array" ref="O18:P18">LOGEST(H18:H19,E18:E19)</f>
        <v>0.98881547809545578</v>
      </c>
      <c r="P18" s="159">
        <v>7.1431502647818523E-11</v>
      </c>
      <c r="Q18" s="92">
        <f t="array" ref="Q18:R18">LOGEST(I18:I19,E18:E19)</f>
        <v>0.98879932770823109</v>
      </c>
      <c r="R18" s="166">
        <v>3.9048432895712179E-10</v>
      </c>
      <c r="S18" s="159"/>
    </row>
    <row r="19" spans="1:23" x14ac:dyDescent="0.25">
      <c r="A19" s="178" t="s">
        <v>284</v>
      </c>
      <c r="B19" s="92">
        <f>VLOOKUP('Thermal Control - Spherical'!I13,Constants!K29:Q39,6,FALSE)</f>
        <v>4902</v>
      </c>
      <c r="C19" s="141" t="s">
        <v>84</v>
      </c>
      <c r="E19" s="99">
        <v>750</v>
      </c>
      <c r="F19" s="92">
        <v>121</v>
      </c>
      <c r="G19" s="159">
        <f>0.00000000000000399*$B$34</f>
        <v>3.9899999999999998E-15</v>
      </c>
      <c r="H19" s="159">
        <f>0.0000000000000155*$B$34</f>
        <v>1.55E-14</v>
      </c>
      <c r="I19" s="159">
        <f>0.0000000000000837*$B$34</f>
        <v>8.3699999999999999E-14</v>
      </c>
      <c r="J19" s="159"/>
      <c r="K19" s="92">
        <f t="array" ref="K19:L19">LOGEST(F19:F20,E19:E20)</f>
        <v>1.0044396118292633</v>
      </c>
      <c r="L19" s="98">
        <v>4.3642710536346394</v>
      </c>
      <c r="M19" s="184">
        <f t="array" ref="M19:N19">LOGEST(G19:G20,E19:E20)</f>
        <v>0.99404575792898242</v>
      </c>
      <c r="N19" s="159">
        <v>3.5171481740108943E-13</v>
      </c>
      <c r="O19" s="159">
        <f t="array" ref="O19:P19">LOGEST(H19:H20,E19:E20)</f>
        <v>0.99052602759281694</v>
      </c>
      <c r="P19" s="159">
        <v>1.9539473795978207E-11</v>
      </c>
      <c r="Q19" s="92">
        <f t="array" ref="Q19:R19">LOGEST(I19:I20,E19:E20)</f>
        <v>0.98717643846556513</v>
      </c>
      <c r="R19" s="166">
        <v>1.3385651822102685E-9</v>
      </c>
      <c r="S19" s="159"/>
    </row>
    <row r="20" spans="1:23" x14ac:dyDescent="0.25">
      <c r="A20" s="178" t="s">
        <v>283</v>
      </c>
      <c r="B20" s="92">
        <v>1.08263E-3</v>
      </c>
      <c r="C20" s="141"/>
      <c r="E20" s="99">
        <v>800</v>
      </c>
      <c r="F20" s="92">
        <v>151</v>
      </c>
      <c r="G20" s="159">
        <f>0.00000000000000296*$B$34</f>
        <v>2.96E-15</v>
      </c>
      <c r="H20" s="159">
        <f>0.00000000000000963*$B$34</f>
        <v>9.6300000000000007E-15</v>
      </c>
      <c r="I20" s="159">
        <f>0.0000000000000439*$B$34</f>
        <v>4.3900000000000001E-14</v>
      </c>
      <c r="J20" s="159"/>
      <c r="K20" s="92">
        <f t="array" ref="K20:L20">LOGEST(F20:F21,E20:E21)</f>
        <v>1.0043928629789283</v>
      </c>
      <c r="L20" s="98">
        <v>4.5298363842453391</v>
      </c>
      <c r="M20" s="184">
        <f t="array" ref="M20:N20">LOGEST(G20:G21,E20:E21)</f>
        <v>0.99479332545704979</v>
      </c>
      <c r="N20" s="159">
        <v>1.9275317303929872E-13</v>
      </c>
      <c r="O20" s="159">
        <f t="array" ref="O20:P20">LOGEST(H20:H21,E20:E21)</f>
        <v>0.99207740813652334</v>
      </c>
      <c r="P20" s="159">
        <v>5.5869963858069021E-12</v>
      </c>
      <c r="Q20" s="92">
        <f t="array" ref="Q20:R20">LOGEST(I20:I21,E20:E21)</f>
        <v>0.99241457687135637</v>
      </c>
      <c r="R20" s="166">
        <v>1.9406926837156084E-11</v>
      </c>
      <c r="S20" s="159"/>
    </row>
    <row r="21" spans="1:23" x14ac:dyDescent="0.25">
      <c r="A21" s="178" t="s">
        <v>282</v>
      </c>
      <c r="B21" s="92">
        <v>-3.3800000000000002E-3</v>
      </c>
      <c r="C21" s="141"/>
      <c r="E21" s="99">
        <v>850</v>
      </c>
      <c r="F21" s="92">
        <v>188</v>
      </c>
      <c r="G21" s="159">
        <f>0.00000000000000228*$B$34</f>
        <v>2.28E-15</v>
      </c>
      <c r="H21" s="159">
        <f>0.00000000000000647*$B$34</f>
        <v>6.4699999999999998E-15</v>
      </c>
      <c r="I21" s="159">
        <f>0.00000000000003*$B$34</f>
        <v>2.9999999999999998E-14</v>
      </c>
      <c r="J21" s="159"/>
      <c r="K21" s="92">
        <f t="array" ref="K21:L21">LOGEST(F21:F22,E21:E22)</f>
        <v>1.0036886471043338</v>
      </c>
      <c r="L21" s="98">
        <v>8.2223852494748488</v>
      </c>
      <c r="M21" s="184">
        <f t="array" ref="M21:N21">LOGEST(G21:G22,E21:E22)</f>
        <v>0.99528338277796058</v>
      </c>
      <c r="N21" s="159">
        <v>1.2682201794880647E-13</v>
      </c>
      <c r="O21" s="159">
        <f t="array" ref="O21:P21">LOGEST(H21:H22,E21:E22)</f>
        <v>0.99345827763426942</v>
      </c>
      <c r="P21" s="159">
        <v>1.7128387056351139E-12</v>
      </c>
      <c r="Q21" s="92">
        <f t="array" ref="Q21:R21">LOGEST(I21:I22,E21:E22)</f>
        <v>0.99101046870177212</v>
      </c>
      <c r="R21" s="166">
        <v>6.4656968987765573E-11</v>
      </c>
      <c r="S21" s="159"/>
    </row>
    <row r="22" spans="1:23" x14ac:dyDescent="0.25">
      <c r="A22" s="178" t="s">
        <v>281</v>
      </c>
      <c r="B22" s="92">
        <v>-1.5399999999999999E-3</v>
      </c>
      <c r="C22" s="141"/>
      <c r="E22" s="99">
        <v>900</v>
      </c>
      <c r="F22" s="92">
        <v>226</v>
      </c>
      <c r="G22" s="159">
        <f>0.0000000000000018*$B$34</f>
        <v>1.8000000000000001E-15</v>
      </c>
      <c r="H22" s="159">
        <f>0.00000000000000466*$B$34</f>
        <v>4.66E-15</v>
      </c>
      <c r="I22" s="159">
        <f>0.0000000000000191*$B$34</f>
        <v>1.9099999999999999E-14</v>
      </c>
      <c r="J22" s="159"/>
      <c r="K22" s="92">
        <f t="array" ref="K22:L22">LOGEST(F22:F23,E22:E23)</f>
        <v>1.003036982975154</v>
      </c>
      <c r="L22" s="98">
        <v>14.75220269622452</v>
      </c>
      <c r="M22" s="184">
        <f t="array" ref="M22:N22">LOGEST(G22:G23,E22:E23)</f>
        <v>0.9955470727844663</v>
      </c>
      <c r="N22" s="159">
        <v>9.9920072216262486E-14</v>
      </c>
      <c r="O22" s="159">
        <f t="array" ref="O22:P22">LOGEST(H22:H23,E22:E23)</f>
        <v>0.99451731068445393</v>
      </c>
      <c r="P22" s="159">
        <v>6.5655891186421452E-13</v>
      </c>
      <c r="Q22" s="92">
        <f t="array" ref="Q22:R22">LOGEST(I22:I23,E22:E23)</f>
        <v>0.9918714896313483</v>
      </c>
      <c r="R22" s="166">
        <v>2.9591501382697513E-11</v>
      </c>
      <c r="S22" s="159"/>
    </row>
    <row r="23" spans="1:23" x14ac:dyDescent="0.25">
      <c r="A23" s="178" t="s">
        <v>280</v>
      </c>
      <c r="B23" s="92">
        <v>1.6900000000000001E-3</v>
      </c>
      <c r="C23" s="141"/>
      <c r="E23" s="99">
        <v>950</v>
      </c>
      <c r="F23" s="92">
        <v>263</v>
      </c>
      <c r="G23" s="159">
        <f>0.00000000000000144*$B$34</f>
        <v>1.4399999999999999E-15</v>
      </c>
      <c r="H23" s="159">
        <f>0.00000000000000354*$B$34</f>
        <v>3.5399999999999999E-15</v>
      </c>
      <c r="I23" s="159">
        <f>0.0000000000000127*$B$34</f>
        <v>1.27E-14</v>
      </c>
      <c r="J23" s="159"/>
      <c r="K23" s="92">
        <f t="array" ref="K23:L23">LOGEST(F23:F24,E23:E24)</f>
        <v>1.0023669051507635</v>
      </c>
      <c r="L23" s="98">
        <v>27.833797269029549</v>
      </c>
      <c r="M23" s="184">
        <f t="array" ref="M23:N23">LOGEST(G23:G24,E23:E24)</f>
        <v>0.99585582360173075</v>
      </c>
      <c r="N23" s="159">
        <v>7.442493580643573E-14</v>
      </c>
      <c r="O23" s="159">
        <f t="array" ref="O23:P23">LOGEST(H23:H24,E23:E24)</f>
        <v>0.99524961630677777</v>
      </c>
      <c r="P23" s="159">
        <v>3.2627618699970499E-13</v>
      </c>
      <c r="Q23" s="92">
        <f t="array" ref="Q23:R23">LOGEST(I23:I24,E23:E24)</f>
        <v>0.99277988881129975</v>
      </c>
      <c r="R23" s="166">
        <v>1.2401704637977268E-11</v>
      </c>
      <c r="S23" s="159"/>
    </row>
    <row r="24" spans="1:23" x14ac:dyDescent="0.25">
      <c r="A24" s="178" t="s">
        <v>279</v>
      </c>
      <c r="B24" s="92">
        <v>7.6999999999999996E-4</v>
      </c>
      <c r="C24" s="141"/>
      <c r="E24" s="99">
        <v>1000</v>
      </c>
      <c r="F24" s="92">
        <v>296</v>
      </c>
      <c r="G24" s="159">
        <f>0.00000000000000117*$B$34</f>
        <v>1.1700000000000001E-15</v>
      </c>
      <c r="H24" s="159">
        <f>0.00000000000000279*$B$34</f>
        <v>2.79E-15</v>
      </c>
      <c r="I24" s="159">
        <f>0.00000000000000884*$B$34</f>
        <v>8.8400000000000001E-15</v>
      </c>
      <c r="J24" s="159"/>
      <c r="K24" s="92">
        <f t="array" ref="K24:L24">LOGEST(F24:F25,E24:E25)</f>
        <v>1.0012844550870601</v>
      </c>
      <c r="L24" s="98">
        <v>82.000764796197444</v>
      </c>
      <c r="M24" s="184">
        <f t="array" ref="M24:N24">LOGEST(G24:G25,E24:E25)</f>
        <v>0.99633302076948493</v>
      </c>
      <c r="N24" s="159">
        <v>4.609584562287006E-14</v>
      </c>
      <c r="O24" s="159">
        <f t="array" ref="O24:P24">LOGEST(H24:H25,E24:E25)</f>
        <v>0.99632006130950868</v>
      </c>
      <c r="P24" s="159">
        <v>1.1135996896211084E-13</v>
      </c>
      <c r="Q24" s="92">
        <f t="array" ref="Q24:R24">LOGEST(I24:I25,E24:E25)</f>
        <v>0.99510152086947978</v>
      </c>
      <c r="R24" s="166">
        <v>1.1996712985778447E-12</v>
      </c>
      <c r="S24" s="159"/>
    </row>
    <row r="25" spans="1:23" x14ac:dyDescent="0.25">
      <c r="A25" s="178" t="s">
        <v>278</v>
      </c>
      <c r="B25" s="183">
        <f>23+56/60+4/3600</f>
        <v>23.934444444444445</v>
      </c>
      <c r="C25" s="141" t="s">
        <v>276</v>
      </c>
      <c r="E25" s="99">
        <v>1250</v>
      </c>
      <c r="F25" s="92">
        <v>408</v>
      </c>
      <c r="G25" s="159">
        <f>0.000000000000000467*$B$34</f>
        <v>4.67E-16</v>
      </c>
      <c r="H25" s="159">
        <f>0.00000000000000111*$B$34</f>
        <v>1.1100000000000001E-15</v>
      </c>
      <c r="I25" s="159">
        <f>0.00000000000000259*$B$34</f>
        <v>2.5899999999999999E-15</v>
      </c>
      <c r="J25" s="159"/>
      <c r="K25" s="92">
        <f t="array" ref="K25:L25">LOGEST(F25:F26,E25:E26)</f>
        <v>1.0009397996995577</v>
      </c>
      <c r="L25" s="98">
        <v>126.09924038172402</v>
      </c>
      <c r="M25" s="184">
        <f t="array" ref="M25:N25">LOGEST(G25:G26,E25:E26)</f>
        <v>0.99717100936206238</v>
      </c>
      <c r="N25" s="159">
        <v>1.6116179776371475E-14</v>
      </c>
      <c r="O25" s="159">
        <f t="array" ref="O25:P25">LOGEST(H25:H26,E25:E26)</f>
        <v>0.99697911108488935</v>
      </c>
      <c r="P25" s="159">
        <v>4.8724709243963904E-14</v>
      </c>
      <c r="Q25" s="92">
        <f t="array" ref="Q25:R25">LOGEST(I25:I26,E25:E26)</f>
        <v>0.99699330113208129</v>
      </c>
      <c r="R25" s="166">
        <v>1.1168617847923854E-13</v>
      </c>
      <c r="S25" s="159"/>
    </row>
    <row r="26" spans="1:23" ht="15" thickBot="1" x14ac:dyDescent="0.3">
      <c r="A26" s="178" t="s">
        <v>277</v>
      </c>
      <c r="B26" s="183">
        <f>24</f>
        <v>24</v>
      </c>
      <c r="C26" s="141" t="s">
        <v>276</v>
      </c>
      <c r="E26" s="97">
        <v>1500</v>
      </c>
      <c r="F26" s="101">
        <v>516</v>
      </c>
      <c r="G26" s="181">
        <f>0.00000000000000023*$B$34</f>
        <v>2.2999999999999999E-16</v>
      </c>
      <c r="H26" s="181">
        <f>0.000000000000000521*$B$34</f>
        <v>5.2099999999999999E-16</v>
      </c>
      <c r="I26" s="181">
        <f>0.00000000000000122*$B$34</f>
        <v>1.2199999999999999E-15</v>
      </c>
      <c r="J26" s="181"/>
      <c r="K26" s="101"/>
      <c r="L26" s="96"/>
      <c r="M26" s="182"/>
      <c r="N26" s="181"/>
      <c r="O26" s="181"/>
      <c r="P26" s="181"/>
      <c r="Q26" s="101"/>
      <c r="R26" s="96"/>
      <c r="S26" s="159"/>
    </row>
    <row r="27" spans="1:23" x14ac:dyDescent="0.25">
      <c r="A27" s="178" t="s">
        <v>275</v>
      </c>
      <c r="B27" s="180">
        <f>2*PI()*Planet_Radius/24/60/60*1000</f>
        <v>126.31820461308959</v>
      </c>
      <c r="C27" s="141" t="s">
        <v>71</v>
      </c>
      <c r="M27" s="159"/>
      <c r="N27" s="159"/>
      <c r="O27" s="159"/>
      <c r="P27" s="159"/>
    </row>
    <row r="28" spans="1:23" ht="15" thickBot="1" x14ac:dyDescent="0.3">
      <c r="A28" s="178" t="s">
        <v>274</v>
      </c>
      <c r="B28" s="179">
        <v>7960000000000000</v>
      </c>
      <c r="C28" s="141" t="s">
        <v>85</v>
      </c>
      <c r="M28" s="159"/>
      <c r="N28" s="159"/>
      <c r="O28" s="159"/>
      <c r="P28" s="159"/>
    </row>
    <row r="29" spans="1:23" ht="15" thickTop="1" x14ac:dyDescent="0.25">
      <c r="A29" s="178" t="s">
        <v>273</v>
      </c>
      <c r="B29" s="164">
        <f>VLOOKUP('Thermal Control - Spherical'!I13,Constants!K29:Q39,3,FALSE)</f>
        <v>1226</v>
      </c>
      <c r="C29" s="141" t="s">
        <v>15</v>
      </c>
      <c r="E29" s="378" t="s">
        <v>272</v>
      </c>
      <c r="F29" s="378"/>
      <c r="G29" s="378"/>
      <c r="H29" s="104"/>
      <c r="I29" s="103"/>
      <c r="K29" s="204" t="s">
        <v>307</v>
      </c>
      <c r="L29" s="205" t="s">
        <v>306</v>
      </c>
      <c r="M29" s="205" t="s">
        <v>308</v>
      </c>
      <c r="N29" s="205" t="s">
        <v>309</v>
      </c>
      <c r="O29" s="205" t="s">
        <v>18</v>
      </c>
      <c r="P29" s="205" t="s">
        <v>310</v>
      </c>
      <c r="Q29" s="205" t="s">
        <v>311</v>
      </c>
      <c r="R29" s="205" t="s">
        <v>312</v>
      </c>
      <c r="S29" s="205" t="s">
        <v>313</v>
      </c>
      <c r="T29" s="205" t="s">
        <v>314</v>
      </c>
      <c r="U29" s="206" t="s">
        <v>315</v>
      </c>
    </row>
    <row r="30" spans="1:23" x14ac:dyDescent="0.25">
      <c r="A30" s="178" t="s">
        <v>271</v>
      </c>
      <c r="B30" s="164">
        <f>VLOOKUP('Thermal Control - Spherical'!I13,Constants!K29:Q39,4,FALSE)</f>
        <v>5.2</v>
      </c>
      <c r="C30" s="141" t="s">
        <v>15</v>
      </c>
      <c r="E30" s="99"/>
      <c r="F30" s="93" t="s">
        <v>89</v>
      </c>
      <c r="I30" s="141" t="s">
        <v>89</v>
      </c>
      <c r="K30" s="207" t="s">
        <v>298</v>
      </c>
      <c r="L30" s="93">
        <v>0.3871</v>
      </c>
      <c r="M30" s="93"/>
      <c r="N30" s="93"/>
      <c r="O30" s="93"/>
      <c r="P30" s="93"/>
      <c r="Q30" s="93"/>
      <c r="U30" s="210"/>
      <c r="V30" s="159"/>
      <c r="W30" s="159"/>
    </row>
    <row r="31" spans="1:23" x14ac:dyDescent="0.25">
      <c r="A31" s="178" t="s">
        <v>270</v>
      </c>
      <c r="B31" s="177">
        <v>1418</v>
      </c>
      <c r="C31" s="141" t="s">
        <v>15</v>
      </c>
      <c r="E31" s="99"/>
      <c r="F31" s="93" t="s">
        <v>90</v>
      </c>
      <c r="I31" s="141" t="s">
        <v>90</v>
      </c>
      <c r="K31" s="207" t="s">
        <v>299</v>
      </c>
      <c r="L31" s="93">
        <v>0.72330000000000005</v>
      </c>
      <c r="M31" s="93"/>
      <c r="N31" s="93"/>
      <c r="O31" s="93"/>
      <c r="P31" s="93"/>
      <c r="Q31" s="93"/>
      <c r="U31" s="210"/>
      <c r="V31" s="159"/>
      <c r="W31" s="159"/>
    </row>
    <row r="32" spans="1:23" x14ac:dyDescent="0.25">
      <c r="A32" s="178" t="s">
        <v>297</v>
      </c>
      <c r="B32" s="202">
        <f>VLOOKUP('Thermal Control - Spherical'!I13,Constants!K29:Q39,5,FALSE)</f>
        <v>7.2999999999999995E-2</v>
      </c>
      <c r="C32" s="141"/>
      <c r="E32" s="99" t="s">
        <v>69</v>
      </c>
      <c r="F32" s="171">
        <v>0.26700000000000002</v>
      </c>
      <c r="H32" s="92" t="s">
        <v>91</v>
      </c>
      <c r="I32" s="170">
        <v>7.4999999999999997E-2</v>
      </c>
      <c r="K32" s="207" t="s">
        <v>209</v>
      </c>
      <c r="L32" s="93">
        <v>1</v>
      </c>
      <c r="M32" s="93">
        <v>258</v>
      </c>
      <c r="N32" s="93">
        <v>216</v>
      </c>
      <c r="O32" s="93">
        <v>0.34</v>
      </c>
      <c r="P32" s="93">
        <v>398600.44179999997</v>
      </c>
      <c r="Q32" s="93">
        <v>6378.1369999999997</v>
      </c>
      <c r="U32" s="210"/>
      <c r="V32" s="159"/>
      <c r="W32" s="159"/>
    </row>
    <row r="33" spans="1:23" x14ac:dyDescent="0.25">
      <c r="A33" s="178" t="s">
        <v>269</v>
      </c>
      <c r="B33" s="177">
        <v>1367</v>
      </c>
      <c r="C33" s="141" t="s">
        <v>15</v>
      </c>
      <c r="E33" s="99" t="s">
        <v>92</v>
      </c>
      <c r="F33" s="171">
        <v>0.217</v>
      </c>
      <c r="H33" s="92" t="s">
        <v>93</v>
      </c>
      <c r="I33" s="170">
        <v>0.08</v>
      </c>
      <c r="K33" s="207" t="s">
        <v>210</v>
      </c>
      <c r="L33" s="93">
        <v>1</v>
      </c>
      <c r="M33" s="93">
        <v>1226</v>
      </c>
      <c r="N33" s="93">
        <v>5.2</v>
      </c>
      <c r="O33" s="93">
        <v>7.2999999999999995E-2</v>
      </c>
      <c r="P33" s="93">
        <v>4902</v>
      </c>
      <c r="Q33" s="93">
        <v>1737</v>
      </c>
      <c r="U33" s="210"/>
      <c r="V33" s="159"/>
      <c r="W33" s="159"/>
    </row>
    <row r="34" spans="1:23" ht="15" thickBot="1" x14ac:dyDescent="0.3">
      <c r="A34" s="176" t="s">
        <v>268</v>
      </c>
      <c r="B34" s="162">
        <v>1</v>
      </c>
      <c r="C34" s="175"/>
      <c r="E34" s="99" t="s">
        <v>94</v>
      </c>
      <c r="F34" s="171">
        <v>3.4000000000000002E-2</v>
      </c>
      <c r="H34" s="92" t="s">
        <v>66</v>
      </c>
      <c r="I34" s="170">
        <v>3.6999999999999998E-2</v>
      </c>
      <c r="K34" s="207" t="s">
        <v>300</v>
      </c>
      <c r="L34" s="93">
        <v>1.524</v>
      </c>
      <c r="M34" s="93">
        <v>390</v>
      </c>
      <c r="N34" s="93">
        <v>30</v>
      </c>
      <c r="O34" s="93">
        <v>0.28999999999999998</v>
      </c>
      <c r="P34" s="93">
        <v>42828</v>
      </c>
      <c r="Q34" s="93">
        <v>3390</v>
      </c>
      <c r="U34" s="211"/>
    </row>
    <row r="35" spans="1:23" ht="15" thickBot="1" x14ac:dyDescent="0.3">
      <c r="E35" s="97" t="s">
        <v>3</v>
      </c>
      <c r="F35" s="169">
        <v>0.27900000000000003</v>
      </c>
      <c r="G35" s="101"/>
      <c r="H35" s="101"/>
      <c r="I35" s="96"/>
      <c r="K35" s="207" t="s">
        <v>301</v>
      </c>
      <c r="L35" s="93">
        <v>5.2</v>
      </c>
      <c r="M35" s="93"/>
      <c r="N35" s="93"/>
      <c r="O35" s="93"/>
      <c r="P35" s="93"/>
      <c r="Q35" s="93"/>
      <c r="U35" s="211"/>
    </row>
    <row r="36" spans="1:23" ht="15" thickBot="1" x14ac:dyDescent="0.3">
      <c r="K36" s="207" t="s">
        <v>302</v>
      </c>
      <c r="L36" s="93">
        <v>9.5399999999999991</v>
      </c>
      <c r="M36" s="93"/>
      <c r="N36" s="93"/>
      <c r="O36" s="93"/>
      <c r="P36" s="93"/>
      <c r="Q36" s="93"/>
      <c r="U36" s="211"/>
    </row>
    <row r="37" spans="1:23" ht="15" thickBot="1" x14ac:dyDescent="0.3">
      <c r="A37" s="174" t="s">
        <v>86</v>
      </c>
      <c r="B37" s="173">
        <v>290</v>
      </c>
      <c r="C37" s="172" t="s">
        <v>87</v>
      </c>
      <c r="K37" s="207" t="s">
        <v>303</v>
      </c>
      <c r="L37" s="93">
        <v>19.18</v>
      </c>
      <c r="M37" s="93"/>
      <c r="N37" s="93"/>
      <c r="O37" s="93"/>
      <c r="P37" s="93"/>
      <c r="Q37" s="93"/>
      <c r="U37" s="211"/>
    </row>
    <row r="38" spans="1:23" ht="15" thickBot="1" x14ac:dyDescent="0.3">
      <c r="E38" s="378" t="s">
        <v>267</v>
      </c>
      <c r="F38" s="378"/>
      <c r="G38" s="103"/>
      <c r="K38" s="207" t="s">
        <v>304</v>
      </c>
      <c r="L38" s="93">
        <v>30.06</v>
      </c>
      <c r="M38" s="93"/>
      <c r="N38" s="93"/>
      <c r="O38" s="93"/>
      <c r="P38" s="93"/>
      <c r="Q38" s="93"/>
      <c r="U38" s="211"/>
    </row>
    <row r="39" spans="1:23" ht="15" thickBot="1" x14ac:dyDescent="0.3">
      <c r="A39" s="174" t="s">
        <v>88</v>
      </c>
      <c r="B39" s="173">
        <f>0.3048/12</f>
        <v>2.5400000000000002E-2</v>
      </c>
      <c r="C39" s="172" t="s">
        <v>25</v>
      </c>
      <c r="E39" s="99"/>
      <c r="F39" s="145" t="s">
        <v>95</v>
      </c>
      <c r="G39" s="146"/>
      <c r="K39" s="208" t="s">
        <v>305</v>
      </c>
      <c r="L39" s="209">
        <v>39.44</v>
      </c>
      <c r="M39" s="209"/>
      <c r="N39" s="209"/>
      <c r="O39" s="209"/>
      <c r="P39" s="209"/>
      <c r="Q39" s="209"/>
      <c r="R39" s="212"/>
      <c r="S39" s="212"/>
      <c r="T39" s="212"/>
      <c r="U39" s="213"/>
    </row>
    <row r="40" spans="1:23" x14ac:dyDescent="0.25">
      <c r="E40" s="99"/>
      <c r="F40" s="93" t="s">
        <v>81</v>
      </c>
      <c r="G40" s="141" t="s">
        <v>83</v>
      </c>
    </row>
    <row r="41" spans="1:23" x14ac:dyDescent="0.25">
      <c r="E41" s="99" t="s">
        <v>69</v>
      </c>
      <c r="F41" s="171">
        <v>0.2</v>
      </c>
      <c r="G41" s="170">
        <v>0.8</v>
      </c>
    </row>
    <row r="42" spans="1:23" x14ac:dyDescent="0.25">
      <c r="E42" s="99" t="s">
        <v>66</v>
      </c>
      <c r="F42" s="171">
        <v>0.01</v>
      </c>
      <c r="G42" s="170">
        <v>0.05</v>
      </c>
    </row>
    <row r="43" spans="1:23" x14ac:dyDescent="0.25">
      <c r="E43" s="99" t="s">
        <v>96</v>
      </c>
      <c r="F43" s="171">
        <v>0.05</v>
      </c>
      <c r="G43" s="170">
        <v>0.15</v>
      </c>
      <c r="M43" s="159"/>
      <c r="N43" s="159"/>
      <c r="O43" s="159"/>
      <c r="P43" s="159"/>
    </row>
    <row r="44" spans="1:23" x14ac:dyDescent="0.25">
      <c r="E44" s="99" t="s">
        <v>67</v>
      </c>
      <c r="F44" s="171">
        <v>0.04</v>
      </c>
      <c r="G44" s="170">
        <v>0.15</v>
      </c>
      <c r="M44" s="159"/>
      <c r="N44" s="159"/>
      <c r="O44" s="159"/>
      <c r="P44" s="159"/>
    </row>
    <row r="45" spans="1:23" x14ac:dyDescent="0.25">
      <c r="E45" s="99" t="s">
        <v>97</v>
      </c>
      <c r="F45" s="171">
        <v>0.04</v>
      </c>
      <c r="G45" s="170">
        <v>0.1</v>
      </c>
      <c r="M45" s="159"/>
      <c r="N45" s="159"/>
      <c r="O45" s="159"/>
      <c r="P45" s="159"/>
    </row>
    <row r="46" spans="1:23" x14ac:dyDescent="0.25">
      <c r="E46" s="99" t="s">
        <v>94</v>
      </c>
      <c r="F46" s="171">
        <v>0.01</v>
      </c>
      <c r="G46" s="170">
        <v>0.05</v>
      </c>
      <c r="M46" s="159"/>
      <c r="N46" s="159"/>
      <c r="O46" s="159"/>
      <c r="P46" s="159"/>
    </row>
    <row r="47" spans="1:23" x14ac:dyDescent="0.25">
      <c r="E47" s="99" t="s">
        <v>3</v>
      </c>
      <c r="F47" s="171">
        <v>0.05</v>
      </c>
      <c r="G47" s="170">
        <v>0.3</v>
      </c>
      <c r="M47" s="159"/>
      <c r="N47" s="159"/>
      <c r="O47" s="159"/>
      <c r="P47" s="159"/>
    </row>
    <row r="48" spans="1:23" ht="15" thickBot="1" x14ac:dyDescent="0.3">
      <c r="E48" s="97" t="s">
        <v>92</v>
      </c>
      <c r="F48" s="169">
        <v>0</v>
      </c>
      <c r="G48" s="168">
        <v>0</v>
      </c>
      <c r="M48" s="159"/>
      <c r="N48" s="159"/>
      <c r="O48" s="159"/>
      <c r="P48" s="159"/>
    </row>
    <row r="49" spans="5:44" x14ac:dyDescent="0.25">
      <c r="M49" s="159"/>
      <c r="N49" s="159"/>
      <c r="O49" s="159"/>
      <c r="P49" s="159"/>
    </row>
    <row r="50" spans="5:44" ht="15" thickBot="1" x14ac:dyDescent="0.3">
      <c r="M50" s="159"/>
      <c r="N50" s="159"/>
      <c r="O50" s="159"/>
      <c r="P50" s="159"/>
    </row>
    <row r="51" spans="5:44" x14ac:dyDescent="0.25">
      <c r="E51" s="379" t="s">
        <v>266</v>
      </c>
      <c r="F51" s="380"/>
      <c r="G51" s="104"/>
      <c r="H51" s="104"/>
      <c r="I51" s="104"/>
      <c r="J51" s="104"/>
      <c r="K51" s="104"/>
      <c r="L51" s="104"/>
      <c r="M51" s="167"/>
      <c r="N51" s="159"/>
      <c r="O51" s="159"/>
      <c r="P51" s="159"/>
    </row>
    <row r="52" spans="5:44" x14ac:dyDescent="0.25">
      <c r="E52" s="99"/>
      <c r="K52" s="93" t="s">
        <v>98</v>
      </c>
      <c r="M52" s="166"/>
      <c r="N52" s="159"/>
      <c r="O52" s="159"/>
      <c r="P52" s="159"/>
    </row>
    <row r="53" spans="5:44" x14ac:dyDescent="0.25">
      <c r="E53" s="99"/>
      <c r="F53" s="93" t="s">
        <v>99</v>
      </c>
      <c r="G53" s="93" t="s">
        <v>100</v>
      </c>
      <c r="H53" s="93" t="s">
        <v>101</v>
      </c>
      <c r="I53" s="93" t="s">
        <v>102</v>
      </c>
      <c r="K53" s="93" t="s">
        <v>103</v>
      </c>
      <c r="L53" s="93" t="s">
        <v>104</v>
      </c>
      <c r="M53" s="141" t="s">
        <v>105</v>
      </c>
      <c r="N53" s="159"/>
      <c r="O53" s="159"/>
      <c r="P53" s="159"/>
    </row>
    <row r="54" spans="5:44" x14ac:dyDescent="0.25">
      <c r="E54" s="99"/>
      <c r="M54" s="166"/>
      <c r="N54" s="159"/>
      <c r="O54" s="159"/>
      <c r="P54" s="159"/>
    </row>
    <row r="55" spans="5:44" x14ac:dyDescent="0.25">
      <c r="E55" s="99" t="s">
        <v>106</v>
      </c>
      <c r="F55" s="164">
        <v>2</v>
      </c>
      <c r="G55" s="164">
        <v>3.5</v>
      </c>
      <c r="H55" s="164">
        <v>2</v>
      </c>
      <c r="I55" s="164">
        <v>10</v>
      </c>
      <c r="K55" s="165">
        <v>0.5</v>
      </c>
      <c r="L55" s="164">
        <f>F55+(G55-F55)*K55</f>
        <v>2.75</v>
      </c>
      <c r="M55" s="163">
        <f>H55+(I55-H55)*K55</f>
        <v>6</v>
      </c>
      <c r="N55" s="159"/>
      <c r="O55" s="159"/>
      <c r="P55" s="159"/>
    </row>
    <row r="56" spans="5:44" x14ac:dyDescent="0.25">
      <c r="E56" s="99" t="s">
        <v>107</v>
      </c>
      <c r="F56" s="164">
        <v>0.2</v>
      </c>
      <c r="G56" s="164">
        <v>1</v>
      </c>
      <c r="H56" s="164">
        <v>0</v>
      </c>
      <c r="I56" s="164">
        <v>0.2</v>
      </c>
      <c r="K56" s="165">
        <v>0.5</v>
      </c>
      <c r="L56" s="164">
        <f>F56+(G56-F56)*K56</f>
        <v>0.60000000000000009</v>
      </c>
      <c r="M56" s="163">
        <f>H56+(I56-H56)*K56</f>
        <v>0.1</v>
      </c>
      <c r="N56" s="159"/>
      <c r="O56" s="159"/>
      <c r="P56" s="159"/>
    </row>
    <row r="57" spans="5:44" x14ac:dyDescent="0.25">
      <c r="E57" s="99" t="s">
        <v>108</v>
      </c>
      <c r="F57" s="164">
        <v>5</v>
      </c>
      <c r="G57" s="164">
        <v>50</v>
      </c>
      <c r="H57" s="164">
        <v>2</v>
      </c>
      <c r="I57" s="164">
        <v>20</v>
      </c>
      <c r="K57" s="165">
        <v>0.5</v>
      </c>
      <c r="L57" s="164">
        <f>F57+(G57-F57)*K57</f>
        <v>27.5</v>
      </c>
      <c r="M57" s="163">
        <f>H57+(I57-H57)*K57</f>
        <v>11</v>
      </c>
      <c r="N57" s="159"/>
      <c r="O57" s="159"/>
      <c r="P57" s="159"/>
    </row>
    <row r="58" spans="5:44" x14ac:dyDescent="0.25">
      <c r="E58" s="99" t="s">
        <v>109</v>
      </c>
      <c r="F58" s="164">
        <v>0.2</v>
      </c>
      <c r="G58" s="164">
        <v>1.5</v>
      </c>
      <c r="H58" s="164">
        <v>0.2</v>
      </c>
      <c r="I58" s="164">
        <v>1</v>
      </c>
      <c r="K58" s="165">
        <v>0.5</v>
      </c>
      <c r="L58" s="164">
        <f>F58+(G58-F58)*K58</f>
        <v>0.85000000000000009</v>
      </c>
      <c r="M58" s="163">
        <f>H58+(I58-H58)*K58</f>
        <v>0.60000000000000009</v>
      </c>
      <c r="N58" s="159"/>
      <c r="O58" s="159"/>
      <c r="P58" s="159"/>
    </row>
    <row r="59" spans="5:44" ht="15" thickBot="1" x14ac:dyDescent="0.3">
      <c r="E59" s="97" t="s">
        <v>110</v>
      </c>
      <c r="F59" s="161">
        <v>0.8</v>
      </c>
      <c r="G59" s="161">
        <v>3.5</v>
      </c>
      <c r="H59" s="161">
        <v>5</v>
      </c>
      <c r="I59" s="161">
        <v>20</v>
      </c>
      <c r="J59" s="101"/>
      <c r="K59" s="162">
        <v>0.5</v>
      </c>
      <c r="L59" s="161">
        <f>F59+(G59-F59)*K59</f>
        <v>2.1500000000000004</v>
      </c>
      <c r="M59" s="160">
        <f>H59+(I59-H59)*K59</f>
        <v>12.5</v>
      </c>
      <c r="N59" s="159"/>
      <c r="O59" s="159"/>
      <c r="P59" s="159"/>
    </row>
    <row r="60" spans="5:44" x14ac:dyDescent="0.25">
      <c r="M60" s="159"/>
      <c r="N60" s="159"/>
      <c r="O60" s="159"/>
      <c r="P60" s="159"/>
    </row>
    <row r="61" spans="5:44" ht="15" thickBot="1" x14ac:dyDescent="0.3">
      <c r="M61" s="159"/>
      <c r="N61" s="159"/>
      <c r="O61" s="159"/>
      <c r="P61" s="159"/>
    </row>
    <row r="62" spans="5:44" x14ac:dyDescent="0.25">
      <c r="E62" s="152" t="s">
        <v>265</v>
      </c>
      <c r="F62" s="151"/>
      <c r="G62" s="151"/>
      <c r="H62" s="150"/>
      <c r="I62" s="150"/>
      <c r="J62" s="150"/>
      <c r="K62" s="150"/>
      <c r="L62" s="150"/>
      <c r="M62" s="149"/>
    </row>
    <row r="63" spans="5:44" ht="15" thickBot="1" x14ac:dyDescent="0.3">
      <c r="E63" s="99"/>
      <c r="M63" s="98"/>
    </row>
    <row r="64" spans="5:44" x14ac:dyDescent="0.25">
      <c r="E64" s="99"/>
      <c r="F64" s="93" t="s">
        <v>111</v>
      </c>
      <c r="G64" s="93" t="s">
        <v>112</v>
      </c>
      <c r="H64" s="93" t="s">
        <v>113</v>
      </c>
      <c r="I64" s="93"/>
      <c r="J64" s="93"/>
      <c r="K64" s="93" t="s">
        <v>111</v>
      </c>
      <c r="L64" s="93"/>
      <c r="M64" s="141" t="s">
        <v>113</v>
      </c>
      <c r="T64" s="144" t="s">
        <v>111</v>
      </c>
      <c r="U64" s="143" t="s">
        <v>112</v>
      </c>
      <c r="V64" s="104"/>
      <c r="W64" s="104"/>
      <c r="X64" s="143" t="s">
        <v>114</v>
      </c>
      <c r="Y64" s="143"/>
      <c r="Z64" s="143"/>
      <c r="AA64" s="143"/>
      <c r="AB64" s="143" t="s">
        <v>115</v>
      </c>
      <c r="AC64" s="143"/>
      <c r="AD64" s="143"/>
      <c r="AE64" s="143" t="s">
        <v>116</v>
      </c>
      <c r="AF64" s="104"/>
      <c r="AG64" s="143" t="s">
        <v>111</v>
      </c>
      <c r="AH64" s="143"/>
      <c r="AI64" s="143"/>
      <c r="AJ64" s="104"/>
      <c r="AK64" s="143" t="s">
        <v>114</v>
      </c>
      <c r="AL64" s="143"/>
      <c r="AM64" s="143"/>
      <c r="AN64" s="143"/>
      <c r="AO64" s="143" t="s">
        <v>115</v>
      </c>
      <c r="AP64" s="143"/>
      <c r="AQ64" s="143"/>
      <c r="AR64" s="142" t="s">
        <v>116</v>
      </c>
    </row>
    <row r="65" spans="5:44" x14ac:dyDescent="0.25">
      <c r="E65" s="99"/>
      <c r="F65" s="93" t="s">
        <v>3</v>
      </c>
      <c r="G65" s="93" t="s">
        <v>3</v>
      </c>
      <c r="H65" s="93" t="s">
        <v>117</v>
      </c>
      <c r="I65" s="93"/>
      <c r="J65" s="93"/>
      <c r="K65" s="93" t="s">
        <v>3</v>
      </c>
      <c r="L65" s="93" t="s">
        <v>118</v>
      </c>
      <c r="M65" s="141" t="s">
        <v>117</v>
      </c>
      <c r="T65" s="140" t="s">
        <v>3</v>
      </c>
      <c r="U65" s="93" t="s">
        <v>3</v>
      </c>
      <c r="AG65" s="93" t="s">
        <v>3</v>
      </c>
      <c r="AH65" s="93" t="s">
        <v>118</v>
      </c>
      <c r="AI65" s="93"/>
      <c r="AR65" s="98"/>
    </row>
    <row r="66" spans="5:44" x14ac:dyDescent="0.25">
      <c r="E66" s="99" t="s">
        <v>119</v>
      </c>
      <c r="F66" s="92">
        <v>0.2</v>
      </c>
      <c r="G66" s="92">
        <v>10</v>
      </c>
      <c r="H66" s="139">
        <f>INDEX(MMULT(AA66:AC68,AE66:AE68),1,1)</f>
        <v>1.1829442382747484</v>
      </c>
      <c r="K66" s="92">
        <v>7</v>
      </c>
      <c r="L66" s="92">
        <v>1.1000000000000001</v>
      </c>
      <c r="M66" s="138">
        <f>INDEX(MMULT(AN66:AP68,AR66:AR68),1,1)</f>
        <v>0.93286813193897444</v>
      </c>
      <c r="T66" s="99">
        <f t="shared" ref="T66:U69" si="0">LOG(F66)</f>
        <v>-0.69897000433601875</v>
      </c>
      <c r="U66" s="92">
        <f t="shared" si="0"/>
        <v>1</v>
      </c>
      <c r="W66" s="92">
        <f>4</f>
        <v>4</v>
      </c>
      <c r="X66" s="92">
        <f>W67</f>
        <v>2.204119982655925</v>
      </c>
      <c r="Y66" s="92">
        <f>X67</f>
        <v>4.2812487254895908</v>
      </c>
      <c r="AA66" s="92">
        <f>INDEX(MINVERSE(W66:Y68),1,1)</f>
        <v>0.51014699027108712</v>
      </c>
      <c r="AB66" s="92">
        <f>INDEX(MINVERSE(W66:Y68),2)</f>
        <v>0.11058393226860654</v>
      </c>
      <c r="AC66" s="92">
        <f>INDEX(MINVERSE(W66:Y68),3)</f>
        <v>-0.29998916164614614</v>
      </c>
      <c r="AE66" s="92">
        <f>U66+U67+U68+U69</f>
        <v>6.0492180226701819</v>
      </c>
      <c r="AG66" s="92">
        <f t="shared" ref="AG66:AH69" si="1">LOG(K66)</f>
        <v>0.84509804001425681</v>
      </c>
      <c r="AH66" s="92">
        <f t="shared" si="1"/>
        <v>4.1392685158225077E-2</v>
      </c>
      <c r="AJ66" s="92">
        <f>4</f>
        <v>4</v>
      </c>
      <c r="AK66" s="92">
        <f>AJ67</f>
        <v>5.8662873390841952</v>
      </c>
      <c r="AL66" s="92">
        <f>AK67</f>
        <v>9.1869637512785118</v>
      </c>
      <c r="AN66" s="92">
        <f>INDEX(MINVERSE(AJ66:AL68),1,1)</f>
        <v>72.295517299365471</v>
      </c>
      <c r="AO66" s="92">
        <f>INDEX(MINVERSE(AJ66:AL68),2)</f>
        <v>-117.33151108467169</v>
      </c>
      <c r="AP66" s="92">
        <f>INDEX(MINVERSE(AJ66:AL68),3)</f>
        <v>43.552831989620259</v>
      </c>
      <c r="AR66" s="98">
        <f>AH66+AH67+AH68+AH69</f>
        <v>0.95763601562356471</v>
      </c>
    </row>
    <row r="67" spans="5:44" x14ac:dyDescent="0.25">
      <c r="E67" s="99"/>
      <c r="F67" s="92">
        <v>2</v>
      </c>
      <c r="G67" s="92">
        <v>20</v>
      </c>
      <c r="H67" s="139">
        <f>INDEX(MMULT(AA66:AC68,AE66:AE68),2,1)</f>
        <v>0.35039787768968989</v>
      </c>
      <c r="K67" s="92">
        <v>30</v>
      </c>
      <c r="L67" s="92">
        <v>1.4</v>
      </c>
      <c r="M67" s="138">
        <f>INDEX(MMULT(AN66:AP68,AR66:AR68),2,1)</f>
        <v>-1.7328494292437142</v>
      </c>
      <c r="T67" s="99">
        <f t="shared" si="0"/>
        <v>0.3010299956639812</v>
      </c>
      <c r="U67" s="92">
        <f t="shared" si="0"/>
        <v>1.3010299956639813</v>
      </c>
      <c r="W67" s="92">
        <f>T66+T67+T68+T69</f>
        <v>2.204119982655925</v>
      </c>
      <c r="X67" s="92">
        <f>W68</f>
        <v>4.2812487254895908</v>
      </c>
      <c r="Y67" s="92">
        <f>T66^3+T67^3+T68^3+T69^3</f>
        <v>5.3264007461631149</v>
      </c>
      <c r="AA67" s="92">
        <f>INDEX(MINVERSE(W66:Y68),2,1)</f>
        <v>0.11058393226860654</v>
      </c>
      <c r="AB67" s="92">
        <f>INDEX(MINVERSE(W66:Y68),2,2)</f>
        <v>0.84895110258993822</v>
      </c>
      <c r="AC67" s="92">
        <f>INDEX(MINVERSE(W66:Y68),2,3)</f>
        <v>-0.54038575353412144</v>
      </c>
      <c r="AE67" s="92">
        <f>T66*U66+T67*U67+T68*U68+T69*U69</f>
        <v>4.7856905444280091</v>
      </c>
      <c r="AG67" s="92">
        <f t="shared" si="1"/>
        <v>1.4771212547196624</v>
      </c>
      <c r="AH67" s="92">
        <f t="shared" si="1"/>
        <v>0.14612803567823801</v>
      </c>
      <c r="AJ67" s="92">
        <f>AG66+AG67+AG68+AG69</f>
        <v>5.8662873390841952</v>
      </c>
      <c r="AK67" s="92">
        <f>AJ68</f>
        <v>9.1869637512785118</v>
      </c>
      <c r="AL67" s="92">
        <f>AG66^3+AG67^3+AG68^3+AG69^3</f>
        <v>15.011975835868084</v>
      </c>
      <c r="AN67" s="92">
        <f>INDEX(MINVERSE(AJ66:AL68),2,1)</f>
        <v>-117.33151108467169</v>
      </c>
      <c r="AO67" s="92">
        <f>INDEX(MINVERSE(AJ66:AL68),2,2)</f>
        <v>194.56416200674056</v>
      </c>
      <c r="AP67" s="92">
        <f>INDEX(MINVERSE(AJ66:AL68),2,3)</f>
        <v>-73.151832757308554</v>
      </c>
      <c r="AR67" s="98">
        <f>AG66*AH66+AG67*AH67+AG68*AH68+AG69*AH69</f>
        <v>1.6310342093601122</v>
      </c>
    </row>
    <row r="68" spans="5:44" x14ac:dyDescent="0.25">
      <c r="E68" s="99"/>
      <c r="F68" s="92">
        <v>8</v>
      </c>
      <c r="G68" s="92">
        <v>40</v>
      </c>
      <c r="H68" s="139">
        <f>INDEX(MMULT(AA66:AC68,AE66:AE68),3,1)</f>
        <v>0.12732782896484807</v>
      </c>
      <c r="K68" s="92">
        <v>50</v>
      </c>
      <c r="L68" s="92">
        <v>1.9</v>
      </c>
      <c r="M68" s="138">
        <f>INDEX(MMULT(AN66:AP68,AR66:AR68),3,1)</f>
        <v>0.80457007944009717</v>
      </c>
      <c r="T68" s="99">
        <f t="shared" si="0"/>
        <v>0.90308998699194354</v>
      </c>
      <c r="U68" s="92">
        <f t="shared" si="0"/>
        <v>1.6020599913279623</v>
      </c>
      <c r="W68" s="92">
        <f>T66^2+T67^2+T68^2+T69^2</f>
        <v>4.2812487254895908</v>
      </c>
      <c r="X68" s="92">
        <f>Y67</f>
        <v>5.3264007461631149</v>
      </c>
      <c r="Y68" s="92">
        <f>T66^4+T67^4+T68^4+T69^4</f>
        <v>9.2439356010154867</v>
      </c>
      <c r="AA68" s="92">
        <f>INDEX(MINVERSE(W66:Y68),3,1)</f>
        <v>-0.29998916164614614</v>
      </c>
      <c r="AB68" s="92">
        <f>INDEX(MINVERSE(W66:Y68),3,2)</f>
        <v>-0.54038575353412133</v>
      </c>
      <c r="AC68" s="92">
        <f>INDEX(MINVERSE(W66:Y68),3,3)</f>
        <v>0.55848931879525177</v>
      </c>
      <c r="AE68" s="92">
        <f>U66*T66^2+U67*T67^2+U68*T68^2+U69*T69^2</f>
        <v>8.1078482807875343</v>
      </c>
      <c r="AG68" s="92">
        <f t="shared" si="1"/>
        <v>1.6989700043360187</v>
      </c>
      <c r="AH68" s="92">
        <f t="shared" si="1"/>
        <v>0.27875360095282892</v>
      </c>
      <c r="AJ68" s="92">
        <f>AG66^2+AG67^2+AG68^2+AG69^2</f>
        <v>9.1869637512785118</v>
      </c>
      <c r="AK68" s="92">
        <f>AL67</f>
        <v>15.011975835868084</v>
      </c>
      <c r="AL68" s="92">
        <f>AG66^4+AG67^4+AG68^4+AG69^4</f>
        <v>25.192426353383205</v>
      </c>
      <c r="AN68" s="92">
        <f>INDEX(MINVERSE(AJ66:AL68),3,1)</f>
        <v>43.552831989620259</v>
      </c>
      <c r="AO68" s="92">
        <f>INDEX(MINVERSE(AJ66:AL68),3,2)</f>
        <v>-73.151832757308654</v>
      </c>
      <c r="AP68" s="92">
        <f>INDEX(MINVERSE(AJ66:AL68),3,3)</f>
        <v>27.747833699795244</v>
      </c>
      <c r="AR68" s="98">
        <f>AH66*AG66^2+AH67*AG67^2+AH68*AG68^2+AH69*AG69^2</f>
        <v>2.8258044262718891</v>
      </c>
    </row>
    <row r="69" spans="5:44" x14ac:dyDescent="0.25">
      <c r="E69" s="99"/>
      <c r="F69" s="92">
        <v>50</v>
      </c>
      <c r="G69" s="92">
        <v>140</v>
      </c>
      <c r="H69" s="139"/>
      <c r="K69" s="92">
        <v>70</v>
      </c>
      <c r="L69" s="92">
        <v>3.1</v>
      </c>
      <c r="M69" s="138"/>
      <c r="T69" s="99">
        <f t="shared" si="0"/>
        <v>1.6989700043360187</v>
      </c>
      <c r="U69" s="92">
        <f t="shared" si="0"/>
        <v>2.1461280356782382</v>
      </c>
      <c r="AG69" s="92">
        <f t="shared" si="1"/>
        <v>1.8450980400142569</v>
      </c>
      <c r="AH69" s="92">
        <f t="shared" si="1"/>
        <v>0.49136169383427269</v>
      </c>
      <c r="AR69" s="98"/>
    </row>
    <row r="70" spans="5:44" x14ac:dyDescent="0.25">
      <c r="E70" s="99"/>
      <c r="H70" s="139"/>
      <c r="M70" s="138"/>
      <c r="T70" s="99"/>
      <c r="AR70" s="98"/>
    </row>
    <row r="71" spans="5:44" x14ac:dyDescent="0.25">
      <c r="E71" s="99" t="s">
        <v>120</v>
      </c>
      <c r="F71" s="92">
        <v>1</v>
      </c>
      <c r="G71" s="92">
        <v>10</v>
      </c>
      <c r="H71" s="139">
        <f>INDEX(MMULT(AA71:AC73,AE71:AE73),1,1)</f>
        <v>1.0018770507054953</v>
      </c>
      <c r="K71" s="92">
        <v>1</v>
      </c>
      <c r="L71" s="92">
        <v>2</v>
      </c>
      <c r="M71" s="138">
        <f>INDEX(MMULT(AN71:AP73,AR71:AR73),1,1)</f>
        <v>0.30492967970573259</v>
      </c>
      <c r="O71" s="158"/>
      <c r="T71" s="99">
        <f t="shared" ref="T71:U74" si="2">LOG(F71)</f>
        <v>0</v>
      </c>
      <c r="U71" s="92">
        <f t="shared" si="2"/>
        <v>1</v>
      </c>
      <c r="W71" s="92">
        <f>4</f>
        <v>4</v>
      </c>
      <c r="X71" s="92">
        <f>W72</f>
        <v>4.0334237554869503</v>
      </c>
      <c r="Y71" s="92">
        <f>X72</f>
        <v>6.1172622037907569</v>
      </c>
      <c r="AA71" s="92">
        <f>INDEX(MINVERSE(W71:Y73),1,1)</f>
        <v>0.97478186774907949</v>
      </c>
      <c r="AB71" s="92">
        <f>INDEX(MINVERSE(W71:Y73),2)</f>
        <v>-1.5401004160574805</v>
      </c>
      <c r="AC71" s="92">
        <f>INDEX(MINVERSE(W71:Y73),3)</f>
        <v>0.54154130109257181</v>
      </c>
      <c r="AE71" s="92">
        <f>U71+U72+U73+U74</f>
        <v>6.0492180226701819</v>
      </c>
      <c r="AG71" s="92">
        <f t="shared" ref="AG71:AH74" si="3">LOG(K71)</f>
        <v>0</v>
      </c>
      <c r="AH71" s="92">
        <f t="shared" si="3"/>
        <v>0.3010299956639812</v>
      </c>
      <c r="AJ71" s="92">
        <f>4</f>
        <v>4</v>
      </c>
      <c r="AK71" s="92">
        <f>AJ72</f>
        <v>3.924279286061882</v>
      </c>
      <c r="AL71" s="92">
        <f>AK72</f>
        <v>5.7025851953554998</v>
      </c>
      <c r="AN71" s="92">
        <f>INDEX(MINVERSE(AJ71:AL73),1,1)</f>
        <v>0.9791790260008465</v>
      </c>
      <c r="AO71" s="92">
        <f>INDEX(MINVERSE(AJ71:AL73),2)</f>
        <v>-1.6042833840484394</v>
      </c>
      <c r="AP71" s="92">
        <f>INDEX(MINVERSE(AJ71:AL73),3)</f>
        <v>0.59252774544134124</v>
      </c>
      <c r="AR71" s="98">
        <f>AH71+AH72+AH73+AH74</f>
        <v>2.2253092817258628</v>
      </c>
    </row>
    <row r="72" spans="5:44" x14ac:dyDescent="0.25">
      <c r="E72" s="99"/>
      <c r="F72" s="92">
        <v>6</v>
      </c>
      <c r="G72" s="92">
        <v>20</v>
      </c>
      <c r="H72" s="139">
        <f>INDEX(MMULT(AA71:AC73,AE71:AE73),2,1)</f>
        <v>0.23566263382873132</v>
      </c>
      <c r="K72" s="92">
        <v>6</v>
      </c>
      <c r="L72" s="92">
        <v>3</v>
      </c>
      <c r="M72" s="138">
        <f>INDEX(MMULT(AN71:AP73,AR71:AR73),2,1)</f>
        <v>0.13455113460149271</v>
      </c>
      <c r="O72" s="158"/>
      <c r="T72" s="99">
        <f t="shared" si="2"/>
        <v>0.77815125038364363</v>
      </c>
      <c r="U72" s="92">
        <f t="shared" si="2"/>
        <v>1.3010299956639813</v>
      </c>
      <c r="W72" s="92">
        <f>T71+T72+T73+T74</f>
        <v>4.0334237554869503</v>
      </c>
      <c r="X72" s="92">
        <f>W73</f>
        <v>6.1172622037907569</v>
      </c>
      <c r="Y72" s="92">
        <f>T71^3+T72^3+T73^3+T74^3</f>
        <v>10.136788666568179</v>
      </c>
      <c r="AA72" s="92">
        <f>INDEX(MINVERSE(W71:Y73),2,1)</f>
        <v>-1.5401004160574805</v>
      </c>
      <c r="AB72" s="92">
        <f>INDEX(MINVERSE(W71:Y73),2,2)</f>
        <v>5.2898664517637126</v>
      </c>
      <c r="AC72" s="92">
        <f>INDEX(MINVERSE(W71:Y73),2,3)</f>
        <v>-2.4808273440139752</v>
      </c>
      <c r="AE72" s="92">
        <f>T71*U71+T72*U72+T73*U73+T74*U74</f>
        <v>7.2907808595053387</v>
      </c>
      <c r="AG72" s="92">
        <f t="shared" si="3"/>
        <v>0.77815125038364363</v>
      </c>
      <c r="AH72" s="92">
        <f t="shared" si="3"/>
        <v>0.47712125471966244</v>
      </c>
      <c r="AJ72" s="92">
        <f>AG71+AG72+AG73+AG74</f>
        <v>3.924279286061882</v>
      </c>
      <c r="AK72" s="92">
        <f>AJ73</f>
        <v>5.7025851953554998</v>
      </c>
      <c r="AL72" s="92">
        <f>AG71^3+AG72^3+AG73^3+AG74^3</f>
        <v>8.9548392404746231</v>
      </c>
      <c r="AN72" s="92">
        <f>INDEX(MINVERSE(AJ71:AL73),2,1)</f>
        <v>-1.6042833840484394</v>
      </c>
      <c r="AO72" s="92">
        <f>INDEX(MINVERSE(AJ71:AL73),2,2)</f>
        <v>6.0493649449030098</v>
      </c>
      <c r="AP72" s="92">
        <f>INDEX(MINVERSE(AJ71:AL73),2,3)</f>
        <v>-3.0376159965178968</v>
      </c>
      <c r="AR72" s="98">
        <f>AG71*AH71+AG72*AH72+AG73*AH73+AG74*AH74</f>
        <v>2.7138593461017892</v>
      </c>
    </row>
    <row r="73" spans="5:44" x14ac:dyDescent="0.25">
      <c r="E73" s="99"/>
      <c r="F73" s="92">
        <v>20</v>
      </c>
      <c r="G73" s="92">
        <v>40</v>
      </c>
      <c r="H73" s="139">
        <f>INDEX(MMULT(AA71:AC73,AE71:AE73),3,1)</f>
        <v>0.17837760062116992</v>
      </c>
      <c r="K73" s="92">
        <v>20</v>
      </c>
      <c r="L73" s="92">
        <v>4</v>
      </c>
      <c r="M73" s="138">
        <f>INDEX(MMULT(AN71:AP73,AR71:AR73),3,1)</f>
        <v>8.3746987744985013E-2</v>
      </c>
      <c r="T73" s="99">
        <f t="shared" si="2"/>
        <v>1.3010299956639813</v>
      </c>
      <c r="U73" s="92">
        <f t="shared" si="2"/>
        <v>1.6020599913279623</v>
      </c>
      <c r="W73" s="92">
        <f>T71^2+T72^2+T73^2+T74^2</f>
        <v>6.1172622037907569</v>
      </c>
      <c r="X73" s="92">
        <f>Y72</f>
        <v>10.136788666568179</v>
      </c>
      <c r="Y73" s="92">
        <f>T71^4+T72^4+T73^4+T74^4</f>
        <v>17.817064269853432</v>
      </c>
      <c r="AA73" s="92">
        <f>INDEX(MINVERSE(W71:Y73),3,1)</f>
        <v>0.54154130109257181</v>
      </c>
      <c r="AB73" s="92">
        <f>INDEX(MINVERSE(W71:Y73),3,2)</f>
        <v>-2.4808273440139748</v>
      </c>
      <c r="AC73" s="92">
        <f>INDEX(MINVERSE(W71:Y73),3,3)</f>
        <v>1.2816293428421182</v>
      </c>
      <c r="AE73" s="92">
        <f>U71*T71^2+U72*T72^2+U73*T73^2+U74*T74^2</f>
        <v>11.695772105424421</v>
      </c>
      <c r="AG73" s="92">
        <f t="shared" si="3"/>
        <v>1.3010299956639813</v>
      </c>
      <c r="AH73" s="92">
        <f t="shared" si="3"/>
        <v>0.6020599913279624</v>
      </c>
      <c r="AJ73" s="92">
        <f>AG71^2+AG72^2+AG73^2+AG74^2</f>
        <v>5.7025851953554998</v>
      </c>
      <c r="AK73" s="92">
        <f>AL72</f>
        <v>8.9548392404746231</v>
      </c>
      <c r="AL73" s="92">
        <f>AG71^4+AG72^4+AG73^4+AG74^4</f>
        <v>14.821665399823477</v>
      </c>
      <c r="AN73" s="92">
        <f>INDEX(MINVERSE(AJ71:AL73),3,1)</f>
        <v>0.59252774544134124</v>
      </c>
      <c r="AO73" s="92">
        <f>INDEX(MINVERSE(AJ71:AL73),3,2)</f>
        <v>-3.0376159965178964</v>
      </c>
      <c r="AP73" s="92">
        <f>INDEX(MINVERSE(AJ71:AL73),3,3)</f>
        <v>1.6747391271170073</v>
      </c>
      <c r="AR73" s="98">
        <f>AH71*AG71^2+AH72*AG72^2+AH73*AG73^2+AH74*AG74^2</f>
        <v>4.1850410876935236</v>
      </c>
    </row>
    <row r="74" spans="5:44" ht="15" thickBot="1" x14ac:dyDescent="0.3">
      <c r="E74" s="97"/>
      <c r="F74" s="101">
        <v>90</v>
      </c>
      <c r="G74" s="101">
        <v>140</v>
      </c>
      <c r="H74" s="137"/>
      <c r="I74" s="101"/>
      <c r="J74" s="101"/>
      <c r="K74" s="101">
        <v>70</v>
      </c>
      <c r="L74" s="101">
        <v>7</v>
      </c>
      <c r="M74" s="96"/>
      <c r="T74" s="99">
        <f t="shared" si="2"/>
        <v>1.954242509439325</v>
      </c>
      <c r="U74" s="92">
        <f t="shared" si="2"/>
        <v>2.1461280356782382</v>
      </c>
      <c r="AG74" s="92">
        <f t="shared" si="3"/>
        <v>1.8450980400142569</v>
      </c>
      <c r="AH74" s="92">
        <f t="shared" si="3"/>
        <v>0.84509804001425681</v>
      </c>
      <c r="AR74" s="98"/>
    </row>
    <row r="75" spans="5:44" ht="15" thickBot="1" x14ac:dyDescent="0.3">
      <c r="T75" s="97"/>
      <c r="U75" s="101"/>
      <c r="V75" s="101"/>
      <c r="W75" s="101"/>
      <c r="X75" s="101"/>
      <c r="Y75" s="101"/>
      <c r="Z75" s="101"/>
      <c r="AA75" s="101"/>
      <c r="AB75" s="101"/>
      <c r="AC75" s="101"/>
      <c r="AD75" s="101"/>
      <c r="AE75" s="101"/>
      <c r="AF75" s="101"/>
      <c r="AG75" s="101"/>
      <c r="AH75" s="101"/>
      <c r="AI75" s="101"/>
      <c r="AJ75" s="101"/>
      <c r="AK75" s="101"/>
      <c r="AL75" s="101"/>
      <c r="AM75" s="101"/>
      <c r="AN75" s="101"/>
      <c r="AO75" s="101"/>
      <c r="AP75" s="101"/>
      <c r="AQ75" s="101"/>
      <c r="AR75" s="96"/>
    </row>
    <row r="76" spans="5:44" ht="15" thickBot="1" x14ac:dyDescent="0.3"/>
    <row r="77" spans="5:44" x14ac:dyDescent="0.25">
      <c r="E77" s="152" t="s">
        <v>264</v>
      </c>
      <c r="F77" s="157"/>
      <c r="G77" s="157"/>
      <c r="H77" s="157"/>
      <c r="I77" s="157"/>
      <c r="J77" s="156"/>
      <c r="K77" s="155"/>
    </row>
    <row r="78" spans="5:44" x14ac:dyDescent="0.25">
      <c r="E78" s="99"/>
      <c r="K78" s="98"/>
    </row>
    <row r="79" spans="5:44" x14ac:dyDescent="0.25">
      <c r="E79" s="99" t="s">
        <v>121</v>
      </c>
      <c r="G79" s="92" t="s">
        <v>122</v>
      </c>
      <c r="H79" s="92">
        <f>-28.1815/100</f>
        <v>-0.28181499999999998</v>
      </c>
      <c r="I79" s="92" t="s">
        <v>123</v>
      </c>
      <c r="J79" s="154" t="s">
        <v>124</v>
      </c>
      <c r="K79" s="98">
        <f>168.1814/100</f>
        <v>1.6818139999999999</v>
      </c>
    </row>
    <row r="80" spans="5:44" ht="15" thickBot="1" x14ac:dyDescent="0.3">
      <c r="E80" s="97" t="s">
        <v>125</v>
      </c>
      <c r="F80" s="101"/>
      <c r="G80" s="101" t="s">
        <v>122</v>
      </c>
      <c r="H80" s="101">
        <f>-28.1815/100</f>
        <v>-0.28181499999999998</v>
      </c>
      <c r="I80" s="101" t="s">
        <v>123</v>
      </c>
      <c r="J80" s="153" t="s">
        <v>124</v>
      </c>
      <c r="K80" s="96">
        <f>(168.1814-22.1818)/100</f>
        <v>1.4599959999999998</v>
      </c>
    </row>
    <row r="82" spans="5:44" ht="15" thickBot="1" x14ac:dyDescent="0.3"/>
    <row r="83" spans="5:44" x14ac:dyDescent="0.25">
      <c r="E83" s="152" t="s">
        <v>263</v>
      </c>
      <c r="F83" s="151"/>
      <c r="G83" s="150"/>
      <c r="H83" s="150"/>
      <c r="I83" s="150"/>
      <c r="J83" s="150"/>
      <c r="K83" s="150"/>
      <c r="L83" s="149"/>
      <c r="M83" s="148"/>
    </row>
    <row r="84" spans="5:44" ht="15" thickBot="1" x14ac:dyDescent="0.3">
      <c r="E84" s="147" t="s">
        <v>126</v>
      </c>
      <c r="F84" s="145"/>
      <c r="G84" s="145"/>
      <c r="J84" s="145" t="s">
        <v>127</v>
      </c>
      <c r="K84" s="145"/>
      <c r="L84" s="146"/>
      <c r="N84" s="145" t="s">
        <v>12</v>
      </c>
    </row>
    <row r="85" spans="5:44" x14ac:dyDescent="0.25">
      <c r="E85" s="140" t="s">
        <v>128</v>
      </c>
      <c r="F85" s="93" t="s">
        <v>129</v>
      </c>
      <c r="G85" s="93" t="s">
        <v>113</v>
      </c>
      <c r="H85" s="93"/>
      <c r="I85" s="93"/>
      <c r="J85" s="93" t="s">
        <v>128</v>
      </c>
      <c r="K85" s="93" t="s">
        <v>129</v>
      </c>
      <c r="L85" s="141" t="s">
        <v>113</v>
      </c>
      <c r="T85" s="144" t="s">
        <v>128</v>
      </c>
      <c r="U85" s="143" t="s">
        <v>129</v>
      </c>
      <c r="V85" s="104"/>
      <c r="W85" s="104"/>
      <c r="X85" s="143" t="s">
        <v>114</v>
      </c>
      <c r="Y85" s="143"/>
      <c r="Z85" s="143"/>
      <c r="AA85" s="143"/>
      <c r="AB85" s="143" t="s">
        <v>115</v>
      </c>
      <c r="AC85" s="143"/>
      <c r="AD85" s="143"/>
      <c r="AE85" s="143" t="s">
        <v>116</v>
      </c>
      <c r="AF85" s="104"/>
      <c r="AG85" s="143" t="s">
        <v>128</v>
      </c>
      <c r="AH85" s="143" t="s">
        <v>129</v>
      </c>
      <c r="AI85" s="143"/>
      <c r="AJ85" s="104"/>
      <c r="AK85" s="143" t="s">
        <v>114</v>
      </c>
      <c r="AL85" s="143"/>
      <c r="AM85" s="143"/>
      <c r="AN85" s="143"/>
      <c r="AO85" s="143" t="s">
        <v>115</v>
      </c>
      <c r="AP85" s="143"/>
      <c r="AQ85" s="143"/>
      <c r="AR85" s="142" t="s">
        <v>116</v>
      </c>
    </row>
    <row r="86" spans="5:44" x14ac:dyDescent="0.25">
      <c r="E86" s="140" t="s">
        <v>130</v>
      </c>
      <c r="F86" s="93" t="s">
        <v>131</v>
      </c>
      <c r="G86" s="93" t="s">
        <v>117</v>
      </c>
      <c r="H86" s="93"/>
      <c r="I86" s="93"/>
      <c r="J86" s="93" t="s">
        <v>130</v>
      </c>
      <c r="K86" s="93" t="s">
        <v>131</v>
      </c>
      <c r="L86" s="141" t="s">
        <v>117</v>
      </c>
      <c r="T86" s="140" t="s">
        <v>130</v>
      </c>
      <c r="U86" s="93" t="s">
        <v>131</v>
      </c>
      <c r="AG86" s="93" t="s">
        <v>130</v>
      </c>
      <c r="AH86" s="93" t="s">
        <v>131</v>
      </c>
      <c r="AI86" s="93"/>
      <c r="AR86" s="98"/>
    </row>
    <row r="87" spans="5:44" x14ac:dyDescent="0.25">
      <c r="E87" s="99">
        <v>1</v>
      </c>
      <c r="F87" s="92">
        <v>4</v>
      </c>
      <c r="G87" s="139">
        <f>INDEX(MMULT(AA87:AC89,AE87:AE89),1,1)</f>
        <v>0.6017184917250864</v>
      </c>
      <c r="J87" s="92">
        <v>300</v>
      </c>
      <c r="K87" s="92">
        <v>90</v>
      </c>
      <c r="L87" s="138">
        <f>INDEX(MMULT(AN87:AO88,AR87:AR88),1,1)</f>
        <v>-0.51024360722774986</v>
      </c>
      <c r="T87" s="99">
        <f t="shared" ref="T87:U90" si="4">LOG(E87)</f>
        <v>0</v>
      </c>
      <c r="U87" s="92">
        <f t="shared" si="4"/>
        <v>0.6020599913279624</v>
      </c>
      <c r="W87" s="92">
        <f>4</f>
        <v>4</v>
      </c>
      <c r="X87" s="92">
        <f>W88</f>
        <v>6.1760912590556813</v>
      </c>
      <c r="Y87" s="92">
        <f>X88</f>
        <v>13.022628786217448</v>
      </c>
      <c r="AA87" s="92">
        <f>INDEX(MINVERSE(W87:Y89),1,1)</f>
        <v>0.99928092012534531</v>
      </c>
      <c r="AB87" s="92">
        <f>INDEX(MINVERSE(W87:Y89),2)</f>
        <v>-0.96887778466405383</v>
      </c>
      <c r="AC87" s="92">
        <f>INDEX(MINVERSE(W87:Y89),3)</f>
        <v>0.22935107692054904</v>
      </c>
      <c r="AE87" s="92">
        <f>U87+U88+U89+U90</f>
        <v>5.2402496315187994</v>
      </c>
      <c r="AG87" s="92">
        <f t="shared" ref="AG87:AH89" si="5">LOG(J87)</f>
        <v>2.4771212547196626</v>
      </c>
      <c r="AH87" s="92">
        <f t="shared" si="5"/>
        <v>1.954242509439325</v>
      </c>
      <c r="AJ87" s="92">
        <v>3</v>
      </c>
      <c r="AK87" s="92">
        <f>AJ88</f>
        <v>8.9542425094393252</v>
      </c>
      <c r="AN87" s="92">
        <f>INDEX(MINVERSE(AJ87:AK88),1,1)</f>
        <v>18.13834224815108</v>
      </c>
      <c r="AO87" s="92">
        <f>INDEX(MINVERSE(AJ87:AK88),2)</f>
        <v>-5.9653317059644682</v>
      </c>
      <c r="AR87" s="98">
        <f>AH87+AH88+AH89</f>
        <v>7.380753770803901</v>
      </c>
    </row>
    <row r="88" spans="5:44" x14ac:dyDescent="0.25">
      <c r="E88" s="99">
        <v>50</v>
      </c>
      <c r="F88" s="92">
        <v>16.100000000000001</v>
      </c>
      <c r="G88" s="139">
        <f>INDEX(MMULT(AA87:AC89,AE87:AE89),2,1)</f>
        <v>-4.755720848801559E-2</v>
      </c>
      <c r="J88" s="92">
        <v>1000</v>
      </c>
      <c r="K88" s="92">
        <v>300</v>
      </c>
      <c r="L88" s="138">
        <f>INDEX(MMULT(AN87:AO88,AR87:AR88),2,1)</f>
        <v>0.99522484264780786</v>
      </c>
      <c r="T88" s="99">
        <f t="shared" si="4"/>
        <v>1.6989700043360187</v>
      </c>
      <c r="U88" s="92">
        <f t="shared" si="4"/>
        <v>1.2068258760318498</v>
      </c>
      <c r="W88" s="92">
        <f>T87+T88+T89+T90</f>
        <v>6.1760912590556813</v>
      </c>
      <c r="X88" s="92">
        <f>W89</f>
        <v>13.022628786217448</v>
      </c>
      <c r="Y88" s="92">
        <f>T87^3+T88^3+T89^3+T90^3</f>
        <v>28.104012674849244</v>
      </c>
      <c r="AA88" s="92">
        <f>INDEX(MINVERSE(W87:Y89),2,1)</f>
        <v>-0.96887778466405383</v>
      </c>
      <c r="AB88" s="92">
        <f>INDEX(MINVERSE(W87:Y89),2,2)</f>
        <v>4.5101853008225978</v>
      </c>
      <c r="AC88" s="92">
        <f>INDEX(MINVERSE(W87:Y89),2,3)</f>
        <v>-1.8413951029499336</v>
      </c>
      <c r="AE88" s="92">
        <f>T87*U87+T88*U88+T89*U89+T90*U90</f>
        <v>9.8454991302828176</v>
      </c>
      <c r="AG88" s="92">
        <f t="shared" si="5"/>
        <v>3</v>
      </c>
      <c r="AH88" s="92">
        <f t="shared" si="5"/>
        <v>2.4771212547196626</v>
      </c>
      <c r="AJ88" s="92">
        <f>AG87+AG88+AG89</f>
        <v>8.9542425094393252</v>
      </c>
      <c r="AK88" s="92">
        <f>AG87^2+AG88^2+AG89^2</f>
        <v>27.226501930607157</v>
      </c>
      <c r="AN88" s="92">
        <f>INDEX(MINVERSE(AJ87:AK88),2,1)</f>
        <v>-5.9653317059644682</v>
      </c>
      <c r="AO88" s="92">
        <f>INDEX(MINVERSE(AJ87:AK88),2,2)</f>
        <v>1.9986051415323987</v>
      </c>
      <c r="AR88" s="98">
        <f>AG87*AH87+AG88*AH88+AG89*AH89</f>
        <v>22.527646101730625</v>
      </c>
    </row>
    <row r="89" spans="5:44" x14ac:dyDescent="0.25">
      <c r="E89" s="99">
        <v>100</v>
      </c>
      <c r="F89" s="92">
        <v>30</v>
      </c>
      <c r="G89" s="139">
        <f>INDEX(MMULT(AA87:AC89,AE87:AE89),3,1)</f>
        <v>0.24012765591352192</v>
      </c>
      <c r="J89" s="92">
        <v>3000</v>
      </c>
      <c r="K89" s="92">
        <v>890</v>
      </c>
      <c r="L89" s="138"/>
      <c r="T89" s="99">
        <f t="shared" si="4"/>
        <v>2</v>
      </c>
      <c r="U89" s="92">
        <f t="shared" si="4"/>
        <v>1.4771212547196624</v>
      </c>
      <c r="W89" s="92">
        <f>T87^2+T88^2+T89^2+T90^2</f>
        <v>13.022628786217448</v>
      </c>
      <c r="X89" s="92">
        <f>Y88</f>
        <v>28.104012674849244</v>
      </c>
      <c r="Y89" s="92">
        <f>T87^4+T88^4+T89^4+T90^4</f>
        <v>61.983964738743879</v>
      </c>
      <c r="AA89" s="92">
        <f>INDEX(MINVERSE(W87:Y89),3,1)</f>
        <v>0.22935107692054904</v>
      </c>
      <c r="AB89" s="92">
        <f>INDEX(MINVERSE(W87:Y89),3,2)</f>
        <v>-1.8413951029499331</v>
      </c>
      <c r="AC89" s="92">
        <f>INDEX(MINVERSE(W87:Y89),3,3)</f>
        <v>0.8028501820753845</v>
      </c>
      <c r="AE89" s="92">
        <f>U87*T87^2+U88*T88^2+U89*T89^2+U90*T90^2</f>
        <v>21.38347231835192</v>
      </c>
      <c r="AG89" s="92">
        <f t="shared" si="5"/>
        <v>3.4771212547196626</v>
      </c>
      <c r="AH89" s="92">
        <f t="shared" si="5"/>
        <v>2.9493900066449128</v>
      </c>
      <c r="AR89" s="98"/>
    </row>
    <row r="90" spans="5:44" ht="15" thickBot="1" x14ac:dyDescent="0.3">
      <c r="E90" s="97">
        <v>300</v>
      </c>
      <c r="F90" s="101">
        <v>90</v>
      </c>
      <c r="G90" s="137"/>
      <c r="H90" s="101"/>
      <c r="I90" s="101"/>
      <c r="J90" s="101"/>
      <c r="K90" s="101"/>
      <c r="L90" s="136"/>
      <c r="T90" s="97">
        <f t="shared" si="4"/>
        <v>2.4771212547196626</v>
      </c>
      <c r="U90" s="101">
        <f t="shared" si="4"/>
        <v>1.954242509439325</v>
      </c>
      <c r="V90" s="101"/>
      <c r="W90" s="101"/>
      <c r="X90" s="101"/>
      <c r="Y90" s="101"/>
      <c r="Z90" s="101"/>
      <c r="AA90" s="101"/>
      <c r="AB90" s="101"/>
      <c r="AC90" s="101"/>
      <c r="AD90" s="101"/>
      <c r="AE90" s="101"/>
      <c r="AF90" s="101"/>
      <c r="AG90" s="101"/>
      <c r="AH90" s="101"/>
      <c r="AI90" s="101"/>
      <c r="AJ90" s="101"/>
      <c r="AK90" s="101"/>
      <c r="AL90" s="101"/>
      <c r="AM90" s="101"/>
      <c r="AN90" s="101"/>
      <c r="AO90" s="101"/>
      <c r="AP90" s="101"/>
      <c r="AQ90" s="101"/>
      <c r="AR90" s="96"/>
    </row>
    <row r="92" spans="5:44" ht="15" thickBot="1" x14ac:dyDescent="0.3"/>
    <row r="93" spans="5:44" x14ac:dyDescent="0.25">
      <c r="E93" s="106" t="s">
        <v>262</v>
      </c>
      <c r="F93" s="105"/>
      <c r="G93" s="104"/>
      <c r="H93" s="104"/>
      <c r="I93" s="104"/>
      <c r="J93" s="104"/>
      <c r="K93" s="104"/>
      <c r="L93" s="104"/>
      <c r="M93" s="104"/>
      <c r="N93" s="103"/>
    </row>
    <row r="94" spans="5:44" x14ac:dyDescent="0.25">
      <c r="E94" s="99"/>
      <c r="N94" s="98"/>
    </row>
    <row r="95" spans="5:44" x14ac:dyDescent="0.25">
      <c r="E95" s="133" t="s">
        <v>132</v>
      </c>
      <c r="F95" s="132" t="s">
        <v>133</v>
      </c>
      <c r="G95" s="124" t="s">
        <v>132</v>
      </c>
      <c r="H95" s="132" t="s">
        <v>133</v>
      </c>
      <c r="I95" s="93"/>
      <c r="J95" s="124" t="s">
        <v>132</v>
      </c>
      <c r="K95" s="132" t="s">
        <v>133</v>
      </c>
      <c r="L95" s="124" t="s">
        <v>132</v>
      </c>
      <c r="M95" s="132" t="s">
        <v>133</v>
      </c>
      <c r="N95" s="135">
        <v>1.0169999999999999</v>
      </c>
    </row>
    <row r="96" spans="5:44" x14ac:dyDescent="0.25">
      <c r="E96" s="133" t="s">
        <v>134</v>
      </c>
      <c r="F96" s="132" t="s">
        <v>135</v>
      </c>
      <c r="G96" s="124" t="s">
        <v>134</v>
      </c>
      <c r="H96" s="132" t="s">
        <v>135</v>
      </c>
      <c r="I96" s="93"/>
      <c r="J96" s="124" t="s">
        <v>134</v>
      </c>
      <c r="K96" s="132" t="s">
        <v>135</v>
      </c>
      <c r="L96" s="124" t="s">
        <v>134</v>
      </c>
      <c r="M96" s="132" t="s">
        <v>135</v>
      </c>
      <c r="N96" s="135">
        <v>1.022</v>
      </c>
    </row>
    <row r="97" spans="5:14" x14ac:dyDescent="0.25">
      <c r="E97" s="133"/>
      <c r="F97" s="124" t="s">
        <v>136</v>
      </c>
      <c r="G97" s="124"/>
      <c r="H97" s="124" t="s">
        <v>136</v>
      </c>
      <c r="I97" s="93"/>
      <c r="J97" s="124"/>
      <c r="K97" s="124" t="s">
        <v>136</v>
      </c>
      <c r="L97" s="124"/>
      <c r="M97" s="124" t="s">
        <v>136</v>
      </c>
      <c r="N97" s="98"/>
    </row>
    <row r="98" spans="5:14" x14ac:dyDescent="0.25">
      <c r="E98" s="133">
        <v>1981</v>
      </c>
      <c r="F98" s="132">
        <v>0.51</v>
      </c>
      <c r="G98" s="124">
        <f>E107+1</f>
        <v>1991</v>
      </c>
      <c r="H98" s="132">
        <v>0.83699999999999997</v>
      </c>
      <c r="J98" s="124">
        <f>G107+1</f>
        <v>2001</v>
      </c>
      <c r="K98" s="132">
        <f>ROUND(H107*$N$95,3)</f>
        <v>1.0169999999999999</v>
      </c>
      <c r="L98" s="124">
        <f>J107+1</f>
        <v>2011</v>
      </c>
      <c r="M98" s="132">
        <f>K107*$N$96</f>
        <v>1.2519500000000001</v>
      </c>
      <c r="N98" s="98"/>
    </row>
    <row r="99" spans="5:14" x14ac:dyDescent="0.25">
      <c r="E99" s="133">
        <f t="shared" ref="E99:E107" si="6">E98+1</f>
        <v>1982</v>
      </c>
      <c r="F99" s="132">
        <v>0.55900000000000005</v>
      </c>
      <c r="G99" s="124">
        <f t="shared" ref="G99:G107" si="7">G98+1</f>
        <v>1992</v>
      </c>
      <c r="H99" s="132">
        <v>0.86</v>
      </c>
      <c r="J99" s="124">
        <f t="shared" ref="J99:J107" si="8">J98+1</f>
        <v>2002</v>
      </c>
      <c r="K99" s="132">
        <f>ROUND(K98*$N$95,3)</f>
        <v>1.034</v>
      </c>
      <c r="L99" s="124">
        <f t="shared" ref="L99:L107" si="9">L98+1</f>
        <v>2012</v>
      </c>
      <c r="M99" s="132">
        <f t="shared" ref="M99:M107" si="10">M98*$N$96</f>
        <v>1.2794929000000002</v>
      </c>
      <c r="N99" s="98"/>
    </row>
    <row r="100" spans="5:14" x14ac:dyDescent="0.25">
      <c r="E100" s="133">
        <f t="shared" si="6"/>
        <v>1983</v>
      </c>
      <c r="F100" s="132">
        <v>0.61</v>
      </c>
      <c r="G100" s="124">
        <f t="shared" si="7"/>
        <v>1993</v>
      </c>
      <c r="H100" s="132">
        <v>0.88300000000000001</v>
      </c>
      <c r="J100" s="124">
        <f t="shared" si="8"/>
        <v>2003</v>
      </c>
      <c r="K100" s="132">
        <f>ROUND(K99*$N$95,3)</f>
        <v>1.052</v>
      </c>
      <c r="L100" s="124">
        <f t="shared" si="9"/>
        <v>2013</v>
      </c>
      <c r="M100" s="132">
        <f t="shared" si="10"/>
        <v>1.3076417438000001</v>
      </c>
      <c r="N100" s="134"/>
    </row>
    <row r="101" spans="5:14" x14ac:dyDescent="0.25">
      <c r="E101" s="133">
        <f t="shared" si="6"/>
        <v>1984</v>
      </c>
      <c r="F101" s="132">
        <v>0.65800000000000003</v>
      </c>
      <c r="G101" s="124">
        <f t="shared" si="7"/>
        <v>1994</v>
      </c>
      <c r="H101" s="132">
        <v>0.90100000000000002</v>
      </c>
      <c r="J101" s="124">
        <f t="shared" si="8"/>
        <v>2004</v>
      </c>
      <c r="K101" s="132">
        <f t="shared" ref="K101:K107" si="11">ROUND(K100*$N$96,3)</f>
        <v>1.075</v>
      </c>
      <c r="L101" s="124">
        <f t="shared" si="9"/>
        <v>2014</v>
      </c>
      <c r="M101" s="132">
        <f t="shared" si="10"/>
        <v>1.3364098621636</v>
      </c>
      <c r="N101" s="134"/>
    </row>
    <row r="102" spans="5:14" x14ac:dyDescent="0.25">
      <c r="E102" s="133">
        <f t="shared" si="6"/>
        <v>1985</v>
      </c>
      <c r="F102" s="132">
        <v>0.68100000000000005</v>
      </c>
      <c r="G102" s="124">
        <f t="shared" si="7"/>
        <v>1995</v>
      </c>
      <c r="H102" s="132">
        <v>0.91800000000000004</v>
      </c>
      <c r="J102" s="124">
        <f t="shared" si="8"/>
        <v>2005</v>
      </c>
      <c r="K102" s="132">
        <f t="shared" si="11"/>
        <v>1.099</v>
      </c>
      <c r="L102" s="124">
        <f t="shared" si="9"/>
        <v>2015</v>
      </c>
      <c r="M102" s="132">
        <f t="shared" si="10"/>
        <v>1.3658108791311994</v>
      </c>
      <c r="N102" s="98"/>
    </row>
    <row r="103" spans="5:14" x14ac:dyDescent="0.25">
      <c r="E103" s="133">
        <f t="shared" si="6"/>
        <v>1986</v>
      </c>
      <c r="F103" s="132">
        <v>0.7</v>
      </c>
      <c r="G103" s="124">
        <f t="shared" si="7"/>
        <v>1996</v>
      </c>
      <c r="H103" s="132">
        <v>0.93700000000000006</v>
      </c>
      <c r="J103" s="124">
        <f t="shared" si="8"/>
        <v>2006</v>
      </c>
      <c r="K103" s="132">
        <f t="shared" si="11"/>
        <v>1.123</v>
      </c>
      <c r="L103" s="124">
        <f t="shared" si="9"/>
        <v>2016</v>
      </c>
      <c r="M103" s="132">
        <f t="shared" si="10"/>
        <v>1.3958587184720859</v>
      </c>
      <c r="N103" s="98"/>
    </row>
    <row r="104" spans="5:14" x14ac:dyDescent="0.25">
      <c r="E104" s="133">
        <f t="shared" si="6"/>
        <v>1987</v>
      </c>
      <c r="F104" s="132">
        <v>0.71899999999999997</v>
      </c>
      <c r="G104" s="124">
        <f t="shared" si="7"/>
        <v>1997</v>
      </c>
      <c r="H104" s="132">
        <v>0.95799999999999996</v>
      </c>
      <c r="J104" s="124">
        <f t="shared" si="8"/>
        <v>2007</v>
      </c>
      <c r="K104" s="132">
        <f t="shared" si="11"/>
        <v>1.1479999999999999</v>
      </c>
      <c r="L104" s="124">
        <f t="shared" si="9"/>
        <v>2017</v>
      </c>
      <c r="M104" s="132">
        <f t="shared" si="10"/>
        <v>1.4265676102784717</v>
      </c>
      <c r="N104" s="98"/>
    </row>
    <row r="105" spans="5:14" x14ac:dyDescent="0.25">
      <c r="E105" s="133">
        <f t="shared" si="6"/>
        <v>1988</v>
      </c>
      <c r="F105" s="132">
        <v>0.74</v>
      </c>
      <c r="G105" s="124">
        <f t="shared" si="7"/>
        <v>1998</v>
      </c>
      <c r="H105" s="132">
        <v>0.97</v>
      </c>
      <c r="J105" s="124">
        <f t="shared" si="8"/>
        <v>2008</v>
      </c>
      <c r="K105" s="132">
        <f t="shared" si="11"/>
        <v>1.173</v>
      </c>
      <c r="L105" s="124">
        <f t="shared" si="9"/>
        <v>2018</v>
      </c>
      <c r="M105" s="132">
        <f t="shared" si="10"/>
        <v>1.4579520977045981</v>
      </c>
      <c r="N105" s="98"/>
    </row>
    <row r="106" spans="5:14" x14ac:dyDescent="0.25">
      <c r="E106" s="133">
        <f t="shared" si="6"/>
        <v>1989</v>
      </c>
      <c r="F106" s="132">
        <v>0.77100000000000002</v>
      </c>
      <c r="G106" s="124">
        <f t="shared" si="7"/>
        <v>1999</v>
      </c>
      <c r="H106" s="132">
        <v>0.98399999999999999</v>
      </c>
      <c r="J106" s="124">
        <f t="shared" si="8"/>
        <v>2009</v>
      </c>
      <c r="K106" s="132">
        <f t="shared" si="11"/>
        <v>1.1990000000000001</v>
      </c>
      <c r="L106" s="124">
        <f t="shared" si="9"/>
        <v>2019</v>
      </c>
      <c r="M106" s="132">
        <f t="shared" si="10"/>
        <v>1.4900270438540992</v>
      </c>
      <c r="N106" s="98"/>
    </row>
    <row r="107" spans="5:14" ht="15" thickBot="1" x14ac:dyDescent="0.3">
      <c r="E107" s="131">
        <f t="shared" si="6"/>
        <v>1990</v>
      </c>
      <c r="F107" s="129">
        <v>0.80200000000000005</v>
      </c>
      <c r="G107" s="130">
        <f t="shared" si="7"/>
        <v>2000</v>
      </c>
      <c r="H107" s="129">
        <v>1</v>
      </c>
      <c r="I107" s="101"/>
      <c r="J107" s="130">
        <f t="shared" si="8"/>
        <v>2010</v>
      </c>
      <c r="K107" s="129">
        <f t="shared" si="11"/>
        <v>1.2250000000000001</v>
      </c>
      <c r="L107" s="130">
        <f t="shared" si="9"/>
        <v>2020</v>
      </c>
      <c r="M107" s="129">
        <f t="shared" si="10"/>
        <v>1.5228076388188894</v>
      </c>
      <c r="N107" s="96"/>
    </row>
    <row r="109" spans="5:14" ht="15" thickBot="1" x14ac:dyDescent="0.3">
      <c r="M109" s="115"/>
    </row>
    <row r="110" spans="5:14" x14ac:dyDescent="0.25">
      <c r="E110" s="106" t="s">
        <v>261</v>
      </c>
      <c r="F110" s="105"/>
      <c r="G110" s="105"/>
      <c r="H110" s="104"/>
      <c r="I110" s="103"/>
      <c r="M110" s="115"/>
    </row>
    <row r="111" spans="5:14" ht="15" thickBot="1" x14ac:dyDescent="0.3">
      <c r="E111" s="97"/>
      <c r="F111" s="101"/>
      <c r="G111" s="101"/>
      <c r="H111" s="101"/>
      <c r="I111" s="96"/>
    </row>
    <row r="112" spans="5:14" x14ac:dyDescent="0.25">
      <c r="E112" s="128"/>
      <c r="F112" s="104"/>
      <c r="G112" s="127" t="s">
        <v>137</v>
      </c>
      <c r="H112" s="127" t="s">
        <v>138</v>
      </c>
      <c r="I112" s="126" t="s">
        <v>139</v>
      </c>
      <c r="M112" s="125" t="s">
        <v>260</v>
      </c>
      <c r="N112" s="103"/>
    </row>
    <row r="113" spans="5:18" x14ac:dyDescent="0.25">
      <c r="E113" s="99"/>
      <c r="G113" s="124" t="s">
        <v>140</v>
      </c>
      <c r="H113" s="124" t="s">
        <v>141</v>
      </c>
      <c r="I113" s="123" t="s">
        <v>141</v>
      </c>
      <c r="M113" s="99"/>
      <c r="N113" s="98"/>
    </row>
    <row r="114" spans="5:18" x14ac:dyDescent="0.25">
      <c r="E114" s="116" t="s">
        <v>69</v>
      </c>
      <c r="F114" s="115"/>
      <c r="G114" s="114">
        <v>0.4</v>
      </c>
      <c r="H114" s="113">
        <v>0.6</v>
      </c>
      <c r="I114" s="112">
        <f>1-H114</f>
        <v>0.4</v>
      </c>
      <c r="M114" s="99" t="s">
        <v>259</v>
      </c>
      <c r="N114" s="98" t="s">
        <v>258</v>
      </c>
    </row>
    <row r="115" spans="5:18" x14ac:dyDescent="0.25">
      <c r="E115" s="116" t="s">
        <v>142</v>
      </c>
      <c r="F115" s="115"/>
      <c r="G115" s="122">
        <f>SUM(G116:G122)</f>
        <v>0.99999999999999989</v>
      </c>
      <c r="H115" s="121">
        <f>SUMPRODUCT((G116:G122),(H116:H122))</f>
        <v>0.59983999999999993</v>
      </c>
      <c r="I115" s="120">
        <f>SUMPRODUCT((G116:G122),(I116:I122))</f>
        <v>0.40016000000000002</v>
      </c>
      <c r="M115" s="99" t="s">
        <v>257</v>
      </c>
      <c r="N115" s="98">
        <v>1000</v>
      </c>
    </row>
    <row r="116" spans="5:18" x14ac:dyDescent="0.25">
      <c r="E116" s="116"/>
      <c r="F116" s="115" t="s">
        <v>93</v>
      </c>
      <c r="G116" s="114">
        <v>0.184</v>
      </c>
      <c r="H116" s="113">
        <v>0.37</v>
      </c>
      <c r="I116" s="112">
        <f t="shared" ref="I116:I126" si="12">1-H116</f>
        <v>0.63</v>
      </c>
      <c r="M116" s="99" t="s">
        <v>256</v>
      </c>
      <c r="N116" s="98">
        <v>1000</v>
      </c>
    </row>
    <row r="117" spans="5:18" x14ac:dyDescent="0.25">
      <c r="E117" s="116"/>
      <c r="F117" s="115" t="s">
        <v>97</v>
      </c>
      <c r="G117" s="119">
        <v>0.17</v>
      </c>
      <c r="H117" s="117">
        <v>0.7</v>
      </c>
      <c r="I117" s="112">
        <f t="shared" si="12"/>
        <v>0.30000000000000004</v>
      </c>
      <c r="M117" s="99" t="s">
        <v>255</v>
      </c>
      <c r="N117" s="98">
        <v>1000</v>
      </c>
    </row>
    <row r="118" spans="5:18" x14ac:dyDescent="0.25">
      <c r="E118" s="116"/>
      <c r="F118" s="115" t="s">
        <v>3</v>
      </c>
      <c r="G118" s="114">
        <v>0.23300000000000001</v>
      </c>
      <c r="H118" s="113">
        <v>0.62</v>
      </c>
      <c r="I118" s="112">
        <f t="shared" si="12"/>
        <v>0.38</v>
      </c>
      <c r="M118" s="99" t="s">
        <v>254</v>
      </c>
      <c r="N118" s="98">
        <v>3500</v>
      </c>
      <c r="R118" s="95"/>
    </row>
    <row r="119" spans="5:18" x14ac:dyDescent="0.25">
      <c r="E119" s="116"/>
      <c r="F119" s="115" t="s">
        <v>66</v>
      </c>
      <c r="G119" s="114">
        <v>8.4000000000000005E-2</v>
      </c>
      <c r="H119" s="113">
        <v>0.5</v>
      </c>
      <c r="I119" s="112">
        <f t="shared" si="12"/>
        <v>0.5</v>
      </c>
      <c r="M119" s="99"/>
      <c r="N119" s="98"/>
      <c r="R119" s="94"/>
    </row>
    <row r="120" spans="5:18" x14ac:dyDescent="0.25">
      <c r="E120" s="116"/>
      <c r="F120" s="115" t="s">
        <v>92</v>
      </c>
      <c r="G120" s="114">
        <v>0.183</v>
      </c>
      <c r="H120" s="113">
        <v>0.7</v>
      </c>
      <c r="I120" s="112">
        <f t="shared" si="12"/>
        <v>0.30000000000000004</v>
      </c>
      <c r="M120" s="99"/>
      <c r="N120" s="98"/>
    </row>
    <row r="121" spans="5:18" x14ac:dyDescent="0.25">
      <c r="E121" s="116"/>
      <c r="F121" s="115" t="s">
        <v>94</v>
      </c>
      <c r="G121" s="114">
        <v>0.02</v>
      </c>
      <c r="H121" s="113">
        <v>0.5</v>
      </c>
      <c r="I121" s="112">
        <f t="shared" si="12"/>
        <v>0.5</v>
      </c>
      <c r="M121" s="99"/>
      <c r="N121" s="98"/>
    </row>
    <row r="122" spans="5:18" x14ac:dyDescent="0.25">
      <c r="E122" s="118"/>
      <c r="F122" s="115" t="s">
        <v>91</v>
      </c>
      <c r="G122" s="114">
        <v>0.126</v>
      </c>
      <c r="H122" s="117">
        <v>0.7</v>
      </c>
      <c r="I122" s="112">
        <f t="shared" si="12"/>
        <v>0.30000000000000004</v>
      </c>
      <c r="M122" s="99"/>
      <c r="N122" s="98"/>
    </row>
    <row r="123" spans="5:18" x14ac:dyDescent="0.25">
      <c r="E123" s="116" t="s">
        <v>143</v>
      </c>
      <c r="F123" s="115"/>
      <c r="G123" s="114">
        <v>0.13900000000000001</v>
      </c>
      <c r="H123" s="113">
        <v>0</v>
      </c>
      <c r="I123" s="112">
        <f t="shared" si="12"/>
        <v>1</v>
      </c>
      <c r="M123" s="99" t="s">
        <v>253</v>
      </c>
      <c r="N123" s="98"/>
    </row>
    <row r="124" spans="5:18" x14ac:dyDescent="0.25">
      <c r="E124" s="116" t="s">
        <v>144</v>
      </c>
      <c r="F124" s="115"/>
      <c r="G124" s="114">
        <v>0.22900000000000001</v>
      </c>
      <c r="H124" s="113">
        <v>0.5</v>
      </c>
      <c r="I124" s="112">
        <f t="shared" si="12"/>
        <v>0.5</v>
      </c>
      <c r="M124" s="99" t="s">
        <v>252</v>
      </c>
      <c r="N124" s="98">
        <v>800</v>
      </c>
    </row>
    <row r="125" spans="5:18" x14ac:dyDescent="0.25">
      <c r="E125" s="116" t="s">
        <v>145</v>
      </c>
      <c r="F125" s="115"/>
      <c r="G125" s="114">
        <v>6.6000000000000003E-2</v>
      </c>
      <c r="H125" s="113">
        <v>1</v>
      </c>
      <c r="I125" s="112">
        <f t="shared" si="12"/>
        <v>0</v>
      </c>
      <c r="M125" s="99" t="s">
        <v>107</v>
      </c>
      <c r="N125" s="98">
        <v>500</v>
      </c>
    </row>
    <row r="126" spans="5:18" ht="15" thickBot="1" x14ac:dyDescent="0.3">
      <c r="E126" s="111" t="s">
        <v>146</v>
      </c>
      <c r="F126" s="110"/>
      <c r="G126" s="109">
        <v>6.0999999999999999E-2</v>
      </c>
      <c r="H126" s="108">
        <v>0</v>
      </c>
      <c r="I126" s="107">
        <f t="shared" si="12"/>
        <v>1</v>
      </c>
      <c r="M126" s="99" t="s">
        <v>106</v>
      </c>
      <c r="N126" s="98">
        <v>1200</v>
      </c>
    </row>
    <row r="127" spans="5:18" x14ac:dyDescent="0.25">
      <c r="M127" s="99" t="s">
        <v>251</v>
      </c>
      <c r="N127" s="98">
        <v>200</v>
      </c>
    </row>
    <row r="128" spans="5:18" ht="15" thickBot="1" x14ac:dyDescent="0.3">
      <c r="M128" s="99" t="s">
        <v>250</v>
      </c>
      <c r="N128" s="98">
        <v>400</v>
      </c>
    </row>
    <row r="129" spans="5:18" x14ac:dyDescent="0.25">
      <c r="E129" s="106" t="s">
        <v>249</v>
      </c>
      <c r="F129" s="105"/>
      <c r="G129" s="104"/>
      <c r="H129" s="103"/>
      <c r="M129" s="99" t="s">
        <v>248</v>
      </c>
      <c r="N129" s="98">
        <v>2000</v>
      </c>
    </row>
    <row r="130" spans="5:18" x14ac:dyDescent="0.25">
      <c r="E130" s="99"/>
      <c r="H130" s="98"/>
      <c r="M130" s="99" t="s">
        <v>247</v>
      </c>
      <c r="N130" s="98">
        <v>300</v>
      </c>
      <c r="R130" s="95"/>
    </row>
    <row r="131" spans="5:18" x14ac:dyDescent="0.25">
      <c r="E131" s="99" t="s">
        <v>147</v>
      </c>
      <c r="H131" s="102">
        <v>1.1000000000000001</v>
      </c>
      <c r="M131" s="99" t="s">
        <v>246</v>
      </c>
      <c r="N131" s="98">
        <v>2500</v>
      </c>
      <c r="R131" s="94"/>
    </row>
    <row r="132" spans="5:18" x14ac:dyDescent="0.25">
      <c r="E132" s="99" t="s">
        <v>148</v>
      </c>
      <c r="H132" s="102">
        <v>1</v>
      </c>
      <c r="M132" s="99"/>
      <c r="N132" s="98"/>
    </row>
    <row r="133" spans="5:18" x14ac:dyDescent="0.25">
      <c r="E133" s="99" t="s">
        <v>149</v>
      </c>
      <c r="H133" s="102">
        <v>0.8</v>
      </c>
      <c r="M133" s="99"/>
      <c r="N133" s="98"/>
    </row>
    <row r="134" spans="5:18" x14ac:dyDescent="0.25">
      <c r="E134" s="99" t="s">
        <v>150</v>
      </c>
      <c r="H134" s="102">
        <v>0.5</v>
      </c>
      <c r="M134" s="99"/>
      <c r="N134" s="98"/>
    </row>
    <row r="135" spans="5:18" ht="15" thickBot="1" x14ac:dyDescent="0.3">
      <c r="E135" s="97" t="s">
        <v>151</v>
      </c>
      <c r="F135" s="101"/>
      <c r="G135" s="101"/>
      <c r="H135" s="100">
        <v>0.2</v>
      </c>
      <c r="M135" s="99" t="s">
        <v>245</v>
      </c>
      <c r="N135" s="98"/>
    </row>
    <row r="136" spans="5:18" x14ac:dyDescent="0.25">
      <c r="M136" s="99" t="s">
        <v>244</v>
      </c>
      <c r="N136" s="98">
        <v>2000</v>
      </c>
    </row>
    <row r="137" spans="5:18" x14ac:dyDescent="0.25">
      <c r="M137" s="99" t="s">
        <v>243</v>
      </c>
      <c r="N137" s="98">
        <v>8000</v>
      </c>
    </row>
    <row r="138" spans="5:18" x14ac:dyDescent="0.25">
      <c r="M138" s="99" t="s">
        <v>242</v>
      </c>
      <c r="N138" s="98">
        <v>800</v>
      </c>
    </row>
    <row r="139" spans="5:18" x14ac:dyDescent="0.25">
      <c r="M139" s="99" t="s">
        <v>241</v>
      </c>
      <c r="N139" s="98">
        <v>3500</v>
      </c>
    </row>
    <row r="140" spans="5:18" x14ac:dyDescent="0.25">
      <c r="M140" s="99" t="s">
        <v>240</v>
      </c>
      <c r="N140" s="98">
        <v>2000</v>
      </c>
    </row>
    <row r="141" spans="5:18" x14ac:dyDescent="0.25">
      <c r="M141" s="99" t="s">
        <v>239</v>
      </c>
      <c r="N141" s="98">
        <v>4000</v>
      </c>
    </row>
    <row r="142" spans="5:18" x14ac:dyDescent="0.25">
      <c r="M142" s="99" t="s">
        <v>238</v>
      </c>
      <c r="N142" s="98">
        <v>3000</v>
      </c>
    </row>
    <row r="143" spans="5:18" x14ac:dyDescent="0.25">
      <c r="M143" s="99" t="s">
        <v>237</v>
      </c>
      <c r="N143" s="98">
        <v>8500</v>
      </c>
      <c r="R143" s="95"/>
    </row>
    <row r="144" spans="5:18" x14ac:dyDescent="0.25">
      <c r="M144" s="99"/>
      <c r="N144" s="98"/>
      <c r="R144" s="94"/>
    </row>
    <row r="145" spans="13:18" x14ac:dyDescent="0.25">
      <c r="M145" s="99"/>
      <c r="N145" s="98"/>
    </row>
    <row r="146" spans="13:18" x14ac:dyDescent="0.25">
      <c r="M146" s="99"/>
      <c r="N146" s="98"/>
    </row>
    <row r="147" spans="13:18" x14ac:dyDescent="0.25">
      <c r="M147" s="99" t="s">
        <v>236</v>
      </c>
      <c r="N147" s="98"/>
    </row>
    <row r="148" spans="13:18" x14ac:dyDescent="0.25">
      <c r="M148" s="99" t="s">
        <v>235</v>
      </c>
      <c r="N148" s="98">
        <v>600</v>
      </c>
    </row>
    <row r="149" spans="13:18" x14ac:dyDescent="0.25">
      <c r="M149" s="99" t="s">
        <v>234</v>
      </c>
      <c r="N149" s="98">
        <v>800</v>
      </c>
    </row>
    <row r="150" spans="13:18" x14ac:dyDescent="0.25">
      <c r="M150" s="99" t="s">
        <v>233</v>
      </c>
      <c r="N150" s="98">
        <v>1200</v>
      </c>
    </row>
    <row r="151" spans="13:18" x14ac:dyDescent="0.25">
      <c r="M151" s="99" t="s">
        <v>232</v>
      </c>
      <c r="N151" s="98">
        <v>1500</v>
      </c>
      <c r="R151" s="95"/>
    </row>
    <row r="152" spans="13:18" x14ac:dyDescent="0.25">
      <c r="M152" s="99"/>
      <c r="N152" s="98"/>
      <c r="R152" s="94"/>
    </row>
    <row r="153" spans="13:18" x14ac:dyDescent="0.25">
      <c r="M153" s="99"/>
      <c r="N153" s="98"/>
    </row>
    <row r="154" spans="13:18" x14ac:dyDescent="0.25">
      <c r="M154" s="99"/>
      <c r="N154" s="98"/>
    </row>
    <row r="155" spans="13:18" x14ac:dyDescent="0.25">
      <c r="M155" s="99" t="s">
        <v>231</v>
      </c>
      <c r="N155" s="98"/>
    </row>
    <row r="156" spans="13:18" x14ac:dyDescent="0.25">
      <c r="M156" s="99" t="s">
        <v>230</v>
      </c>
      <c r="N156" s="98">
        <v>4000</v>
      </c>
    </row>
    <row r="157" spans="13:18" x14ac:dyDescent="0.25">
      <c r="M157" s="99" t="s">
        <v>229</v>
      </c>
      <c r="N157" s="98">
        <v>2500</v>
      </c>
    </row>
    <row r="158" spans="13:18" x14ac:dyDescent="0.25">
      <c r="M158" s="99" t="s">
        <v>228</v>
      </c>
      <c r="N158" s="98">
        <v>5000</v>
      </c>
      <c r="R158" s="95"/>
    </row>
    <row r="159" spans="13:18" x14ac:dyDescent="0.25">
      <c r="M159" s="99"/>
      <c r="N159" s="98"/>
      <c r="R159" s="94"/>
    </row>
    <row r="160" spans="13:18" x14ac:dyDescent="0.25">
      <c r="M160" s="99"/>
      <c r="N160" s="98"/>
    </row>
    <row r="161" spans="13:18" x14ac:dyDescent="0.25">
      <c r="M161" s="99"/>
      <c r="N161" s="98"/>
    </row>
    <row r="162" spans="13:18" x14ac:dyDescent="0.25">
      <c r="M162" s="99" t="s">
        <v>227</v>
      </c>
      <c r="N162" s="98"/>
    </row>
    <row r="163" spans="13:18" x14ac:dyDescent="0.25">
      <c r="M163" s="99" t="s">
        <v>226</v>
      </c>
      <c r="N163" s="98">
        <v>800</v>
      </c>
    </row>
    <row r="164" spans="13:18" x14ac:dyDescent="0.25">
      <c r="M164" s="99" t="s">
        <v>225</v>
      </c>
      <c r="N164" s="98">
        <v>1500</v>
      </c>
    </row>
    <row r="165" spans="13:18" x14ac:dyDescent="0.25">
      <c r="M165" s="99" t="s">
        <v>224</v>
      </c>
      <c r="N165" s="98">
        <v>1800</v>
      </c>
    </row>
    <row r="166" spans="13:18" x14ac:dyDescent="0.25">
      <c r="M166" s="99" t="s">
        <v>223</v>
      </c>
      <c r="N166" s="98">
        <v>1200</v>
      </c>
    </row>
    <row r="167" spans="13:18" x14ac:dyDescent="0.25">
      <c r="M167" s="99" t="s">
        <v>222</v>
      </c>
      <c r="N167" s="98">
        <v>2000</v>
      </c>
      <c r="R167" s="95"/>
    </row>
    <row r="168" spans="13:18" x14ac:dyDescent="0.25">
      <c r="M168" s="99"/>
      <c r="N168" s="98"/>
      <c r="R168" s="94"/>
    </row>
    <row r="169" spans="13:18" x14ac:dyDescent="0.25">
      <c r="M169" s="99"/>
      <c r="N169" s="98"/>
    </row>
    <row r="170" spans="13:18" x14ac:dyDescent="0.25">
      <c r="M170" s="99"/>
      <c r="N170" s="98"/>
    </row>
    <row r="171" spans="13:18" x14ac:dyDescent="0.25">
      <c r="M171" s="99" t="s">
        <v>221</v>
      </c>
      <c r="N171" s="98"/>
    </row>
    <row r="172" spans="13:18" x14ac:dyDescent="0.25">
      <c r="M172" s="99" t="s">
        <v>220</v>
      </c>
      <c r="N172" s="98">
        <v>3000</v>
      </c>
    </row>
    <row r="173" spans="13:18" x14ac:dyDescent="0.25">
      <c r="M173" s="99" t="s">
        <v>219</v>
      </c>
      <c r="N173" s="98">
        <v>1200</v>
      </c>
    </row>
    <row r="174" spans="13:18" ht="15" thickBot="1" x14ac:dyDescent="0.3">
      <c r="M174" s="97" t="s">
        <v>218</v>
      </c>
      <c r="N174" s="96">
        <v>800</v>
      </c>
      <c r="R174" s="95"/>
    </row>
    <row r="175" spans="13:18" x14ac:dyDescent="0.25">
      <c r="R175" s="94"/>
    </row>
  </sheetData>
  <mergeCells count="3">
    <mergeCell ref="E29:G29"/>
    <mergeCell ref="E38:F38"/>
    <mergeCell ref="E51:F51"/>
  </mergeCells>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13</vt:i4>
      </vt:variant>
      <vt:variant>
        <vt:lpstr>Named Ranges</vt:lpstr>
      </vt:variant>
      <vt:variant>
        <vt:i4>33</vt:i4>
      </vt:variant>
    </vt:vector>
  </HeadingPairs>
  <TitlesOfParts>
    <vt:vector size="46" baseType="lpstr">
      <vt:lpstr>Workbook Description</vt:lpstr>
      <vt:lpstr>Cover</vt:lpstr>
      <vt:lpstr>Change Log</vt:lpstr>
      <vt:lpstr>Objectives</vt:lpstr>
      <vt:lpstr>Thermal- Thermal Budget OCDT</vt:lpstr>
      <vt:lpstr>Thermal Budget and summary </vt:lpstr>
      <vt:lpstr>Thermal Control - Spherical</vt:lpstr>
      <vt:lpstr>MLI Design</vt:lpstr>
      <vt:lpstr>Thermal Control - Solar Array</vt:lpstr>
      <vt:lpstr>Modes</vt:lpstr>
      <vt:lpstr>Trade_off</vt:lpstr>
      <vt:lpstr>ProductTreeMain</vt:lpstr>
      <vt:lpstr>Constants</vt:lpstr>
      <vt:lpstr>Avg_Solar_Flux</vt:lpstr>
      <vt:lpstr>Constants!Boltzmann_Constant</vt:lpstr>
      <vt:lpstr>Constants!Earth_Mu</vt:lpstr>
      <vt:lpstr>Earth_OrbitRadius</vt:lpstr>
      <vt:lpstr>Earth_OrbPeriod</vt:lpstr>
      <vt:lpstr>Constants!Earth_Radius</vt:lpstr>
      <vt:lpstr>Earth_SidDay</vt:lpstr>
      <vt:lpstr>Earth_SolarDay</vt:lpstr>
      <vt:lpstr>Max_Solar_Flux</vt:lpstr>
      <vt:lpstr>Constants!Planck_Constant</vt:lpstr>
      <vt:lpstr>Planet_Albedo</vt:lpstr>
      <vt:lpstr>Planet_J2</vt:lpstr>
      <vt:lpstr>Planet_Mag_Moment</vt:lpstr>
      <vt:lpstr>Planet_MaxIR</vt:lpstr>
      <vt:lpstr>Planet_MinIR</vt:lpstr>
      <vt:lpstr>Planet_MoonNode</vt:lpstr>
      <vt:lpstr>Planet_MoonPer</vt:lpstr>
      <vt:lpstr>Planet_Mu</vt:lpstr>
      <vt:lpstr>Planet_OrbitRadius</vt:lpstr>
      <vt:lpstr>Planet_OrbPeriod</vt:lpstr>
      <vt:lpstr>Planet_Radius</vt:lpstr>
      <vt:lpstr>Planet_SidDay</vt:lpstr>
      <vt:lpstr>Planet_SolarDay</vt:lpstr>
      <vt:lpstr>Planet_SunNode</vt:lpstr>
      <vt:lpstr>Planet_SunPer</vt:lpstr>
      <vt:lpstr>Planet_Vel</vt:lpstr>
      <vt:lpstr>'Thermal Control - Solar Array'!Print_Area</vt:lpstr>
      <vt:lpstr>'Thermal Control - Spherical'!Print_Area</vt:lpstr>
      <vt:lpstr>Constants!Rain_Temp</vt:lpstr>
      <vt:lpstr>Constants!Speed_of_Light</vt:lpstr>
      <vt:lpstr>Constants!Stefan_Boltzmann_Constant</vt:lpstr>
      <vt:lpstr>Stefan_Boltzmann_Constants</vt:lpstr>
      <vt:lpstr>Sun_Mu</vt:lpstr>
    </vt:vector>
  </TitlesOfParts>
  <Company>ISU</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Paulo Esteves</dc:creator>
  <cp:lastModifiedBy>Teacher</cp:lastModifiedBy>
  <cp:lastPrinted>2016-08-12T13:38:02Z</cp:lastPrinted>
  <dcterms:created xsi:type="dcterms:W3CDTF">2009-07-17T09:52:06Z</dcterms:created>
  <dcterms:modified xsi:type="dcterms:W3CDTF">2019-11-06T10:40:27Z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Identifier">
    <vt:lpwstr>{"EngineeringModel":"baba6c58-8851-40ed-b94c-f03807ade224","DomainOfExpertise":"8790fe92-d1fa-42ea-9520-e0ddac52f1ad"}</vt:lpwstr>
  </property>
</Properties>
</file>